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6" yWindow="852" windowWidth="14376" windowHeight="7572" tabRatio="781" activeTab="0"/>
  </bookViews>
  <sheets>
    <sheet name="Test-1" sheetId="1" r:id="rId1"/>
    <sheet name="Test-2" sheetId="2" r:id="rId2"/>
    <sheet name="Test-3" sheetId="3" r:id="rId3"/>
    <sheet name="Results" sheetId="4" r:id="rId4"/>
    <sheet name="Fuel Moisture" sheetId="5" r:id="rId5"/>
    <sheet name="Calorific values" sheetId="6" r:id="rId6"/>
  </sheets>
  <definedNames>
    <definedName name="_xlnm.Print_Area" localSheetId="4">'Fuel Moisture'!$A$1:$V$31</definedName>
    <definedName name="_xlnm.Print_Area" localSheetId="3">'Results'!$A$1:$N$32</definedName>
    <definedName name="_xlnm.Print_Area" localSheetId="0">'Test-1'!$A$1:$AZ$35</definedName>
    <definedName name="_xlnm.Print_Area" localSheetId="1">'Test-2'!$A$1:$AZ$35</definedName>
    <definedName name="_xlnm.Print_Area" localSheetId="2">'Test-3'!$A$1:$AZ$35</definedName>
  </definedNames>
  <calcPr fullCalcOnLoad="1"/>
</workbook>
</file>

<file path=xl/comments1.xml><?xml version="1.0" encoding="utf-8"?>
<comments xmlns="http://schemas.openxmlformats.org/spreadsheetml/2006/main">
  <authors>
    <author> Daemon</author>
    <author>Rob Bailis</author>
  </authors>
  <commentList>
    <comment ref="AK7" authorId="0">
      <text>
        <r>
          <rPr>
            <sz val="8"/>
            <rFont val="Tahoma"/>
            <family val="0"/>
          </rPr>
          <t xml:space="preserve">if wood cannot be easily removed,weighed and replaced in stove,  use [original wt. of wood bundle(before boiling) minus the wt.of wood consumed during Hot Start (AA22)] for this 
value
</t>
        </r>
      </text>
    </comment>
    <comment ref="AH17" authorId="1">
      <text>
        <r>
          <rPr>
            <b/>
            <sz val="8"/>
            <rFont val="Tahoma"/>
            <family val="0"/>
          </rPr>
          <t>Rob Bailis:</t>
        </r>
        <r>
          <rPr>
            <sz val="8"/>
            <rFont val="Tahoma"/>
            <family val="0"/>
          </rPr>
          <t xml:space="preserve">
Assuming that the quantity of char produced is the same as in the Cold Start Test.</t>
        </r>
      </text>
    </comment>
    <comment ref="AA23" authorId="1">
      <text>
        <r>
          <rPr>
            <b/>
            <sz val="8"/>
            <rFont val="Tahoma"/>
            <family val="0"/>
          </rPr>
          <t>Rob Bailis:</t>
        </r>
        <r>
          <rPr>
            <sz val="8"/>
            <rFont val="Tahoma"/>
            <family val="0"/>
          </rPr>
          <t xml:space="preserve">
Assuming that the quantity of char produced is the same as in the Cold Start Test.</t>
        </r>
      </text>
    </comment>
  </commentList>
</comments>
</file>

<file path=xl/comments2.xml><?xml version="1.0" encoding="utf-8"?>
<comments xmlns="http://schemas.openxmlformats.org/spreadsheetml/2006/main">
  <authors>
    <author> Daemon</author>
    <author>Rob Bailis</author>
  </authors>
  <commentList>
    <comment ref="AK7" authorId="0">
      <text>
        <r>
          <rPr>
            <sz val="8"/>
            <rFont val="Tahoma"/>
            <family val="0"/>
          </rPr>
          <t xml:space="preserve">if wood cannot be easily removed,weighed and replaced in stove,  use [original wt. of wood bundle(before boiling) minus the wt.of wood consumed during Hot Start (AA22)] for this 
value
</t>
        </r>
      </text>
    </comment>
    <comment ref="AH17" authorId="1">
      <text>
        <r>
          <rPr>
            <b/>
            <sz val="8"/>
            <rFont val="Tahoma"/>
            <family val="0"/>
          </rPr>
          <t>Rob Bailis:</t>
        </r>
        <r>
          <rPr>
            <sz val="8"/>
            <rFont val="Tahoma"/>
            <family val="0"/>
          </rPr>
          <t xml:space="preserve">
Assuming that the quantity of char produced is the same as in the Cold Start Test.</t>
        </r>
      </text>
    </comment>
    <comment ref="AA23" authorId="1">
      <text>
        <r>
          <rPr>
            <b/>
            <sz val="8"/>
            <rFont val="Tahoma"/>
            <family val="0"/>
          </rPr>
          <t>Rob Bailis:</t>
        </r>
        <r>
          <rPr>
            <sz val="8"/>
            <rFont val="Tahoma"/>
            <family val="0"/>
          </rPr>
          <t xml:space="preserve">
Assuming that the quantity of char produced is the same as in the Cold Start Test.</t>
        </r>
      </text>
    </comment>
  </commentList>
</comments>
</file>

<file path=xl/comments3.xml><?xml version="1.0" encoding="utf-8"?>
<comments xmlns="http://schemas.openxmlformats.org/spreadsheetml/2006/main">
  <authors>
    <author> Daemon</author>
    <author>Rob Bailis</author>
  </authors>
  <commentList>
    <comment ref="AK7" authorId="0">
      <text>
        <r>
          <rPr>
            <sz val="8"/>
            <rFont val="Tahoma"/>
            <family val="0"/>
          </rPr>
          <t xml:space="preserve">if wood cannot be easily removed,weighed and replaced in stove,  use [original wt. of wood bundle(before boiling) minus the wt.of wood consumed during Hot Start (AA22)] for this 
value
</t>
        </r>
      </text>
    </comment>
    <comment ref="AH17" authorId="1">
      <text>
        <r>
          <rPr>
            <b/>
            <sz val="8"/>
            <rFont val="Tahoma"/>
            <family val="0"/>
          </rPr>
          <t>Rob Bailis:</t>
        </r>
        <r>
          <rPr>
            <sz val="8"/>
            <rFont val="Tahoma"/>
            <family val="0"/>
          </rPr>
          <t xml:space="preserve">
Assuming that the quantity of char produced is the same as in the Cold Start Test.</t>
        </r>
      </text>
    </comment>
    <comment ref="AA23" authorId="1">
      <text>
        <r>
          <rPr>
            <b/>
            <sz val="8"/>
            <rFont val="Tahoma"/>
            <family val="0"/>
          </rPr>
          <t>Rob Bailis:</t>
        </r>
        <r>
          <rPr>
            <sz val="8"/>
            <rFont val="Tahoma"/>
            <family val="0"/>
          </rPr>
          <t xml:space="preserve">
Assuming that the quantity of char produced is the same as in the Cold Start Test.</t>
        </r>
      </text>
    </comment>
  </commentList>
</comments>
</file>

<file path=xl/comments4.xml><?xml version="1.0" encoding="utf-8"?>
<comments xmlns="http://schemas.openxmlformats.org/spreadsheetml/2006/main">
  <authors>
    <author>Rob Bailis</author>
  </authors>
  <commentList>
    <comment ref="K7" authorId="0">
      <text>
        <r>
          <rPr>
            <sz val="8"/>
            <rFont val="Tahoma"/>
            <family val="0"/>
          </rPr>
          <t>Standard deviation is only calculated if all three tests are completed.</t>
        </r>
      </text>
    </comment>
    <comment ref="K16" authorId="0">
      <text>
        <r>
          <rPr>
            <sz val="8"/>
            <rFont val="Tahoma"/>
            <family val="0"/>
          </rPr>
          <t>Standard deviation is only calculated if all three tests are completed.</t>
        </r>
      </text>
    </comment>
    <comment ref="K25" authorId="0">
      <text>
        <r>
          <rPr>
            <sz val="8"/>
            <rFont val="Tahoma"/>
            <family val="0"/>
          </rPr>
          <t>Standard deviation is only calculated if all three tests are completed.</t>
        </r>
      </text>
    </comment>
  </commentList>
</comments>
</file>

<file path=xl/sharedStrings.xml><?xml version="1.0" encoding="utf-8"?>
<sst xmlns="http://schemas.openxmlformats.org/spreadsheetml/2006/main" count="1624" uniqueCount="688">
  <si>
    <t>Test Number</t>
  </si>
  <si>
    <t>Date</t>
  </si>
  <si>
    <t>Location</t>
  </si>
  <si>
    <t>Weight of wood</t>
  </si>
  <si>
    <t>Water temperature, Pot # 1</t>
  </si>
  <si>
    <t>Equivalent dry wood consumed</t>
  </si>
  <si>
    <t>Burning rate</t>
  </si>
  <si>
    <t>Units</t>
  </si>
  <si>
    <t xml:space="preserve">Specific fuel consumption </t>
  </si>
  <si>
    <t>Wood consumed (moist)</t>
  </si>
  <si>
    <t>Firepower</t>
  </si>
  <si>
    <t>watts</t>
  </si>
  <si>
    <t>m</t>
  </si>
  <si>
    <t>Weight of charcoal+container</t>
  </si>
  <si>
    <t>Stove type/model</t>
  </si>
  <si>
    <t>Source</t>
  </si>
  <si>
    <t>--</t>
  </si>
  <si>
    <t>kJ/kg</t>
  </si>
  <si>
    <t>Weight of container for char (grams)</t>
  </si>
  <si>
    <t xml:space="preserve">Wood moisture content (% - wet basis) </t>
  </si>
  <si>
    <t>units</t>
  </si>
  <si>
    <t>g</t>
  </si>
  <si>
    <t>%</t>
  </si>
  <si>
    <t>Qualitative data</t>
  </si>
  <si>
    <t>Name(s) of Tester(s)</t>
  </si>
  <si>
    <t>min</t>
  </si>
  <si>
    <t>Start</t>
  </si>
  <si>
    <t>data</t>
  </si>
  <si>
    <t>label</t>
  </si>
  <si>
    <t>Water vaporized</t>
  </si>
  <si>
    <t>1. HIGH POWER TEST (COLD START)</t>
  </si>
  <si>
    <t>2. HIGH POWER TEST (HOT START)</t>
  </si>
  <si>
    <t>3. LOW POWER (SIMMER)</t>
  </si>
  <si>
    <t>Thermal efficiency</t>
  </si>
  <si>
    <t>Turn down ratio</t>
  </si>
  <si>
    <t>Net change in char during test phase</t>
  </si>
  <si>
    <t>SHELL FOUNDATION HEH PROJECT WATER BOILING TEST</t>
  </si>
  <si>
    <t xml:space="preserve">Wind conditions </t>
  </si>
  <si>
    <t>douglas fir</t>
  </si>
  <si>
    <t>wind conditions</t>
  </si>
  <si>
    <t>Tree species</t>
  </si>
  <si>
    <t>low</t>
  </si>
  <si>
    <t>high</t>
  </si>
  <si>
    <t xml:space="preserve">acacia decurrens </t>
  </si>
  <si>
    <t>Sources</t>
  </si>
  <si>
    <t>alnus rubra</t>
  </si>
  <si>
    <t>eucalyptus globulus</t>
  </si>
  <si>
    <t>melia azedarach</t>
  </si>
  <si>
    <t>sapium sebiferum</t>
  </si>
  <si>
    <t>acacia auriculiformis</t>
  </si>
  <si>
    <t>Calorific value (kcal/kg)</t>
  </si>
  <si>
    <t>albizia falcataria</t>
  </si>
  <si>
    <t>casuarina equistofolia</t>
  </si>
  <si>
    <t>average</t>
  </si>
  <si>
    <t>derris indica</t>
  </si>
  <si>
    <t>gliricidia sepium</t>
  </si>
  <si>
    <t>gmelina arborea</t>
  </si>
  <si>
    <t>leucaena leucocephala</t>
  </si>
  <si>
    <t>rhizophera spp</t>
  </si>
  <si>
    <t>syzygium cumini</t>
  </si>
  <si>
    <t>trema spp</t>
  </si>
  <si>
    <t>acacia nilotica</t>
  </si>
  <si>
    <t>acacia tortilis</t>
  </si>
  <si>
    <t>albizia lebbek</t>
  </si>
  <si>
    <t>anogeissus latifolia</t>
  </si>
  <si>
    <t>balanites aegyptiaca</t>
  </si>
  <si>
    <t>dalbergia sissoo</t>
  </si>
  <si>
    <t>emblica ofiicinalis</t>
  </si>
  <si>
    <t>eucalyptus camaldulensis</t>
  </si>
  <si>
    <t>pithecellobium dulce</t>
  </si>
  <si>
    <t>populus euphratica</t>
  </si>
  <si>
    <t>prosopis cineraria</t>
  </si>
  <si>
    <t>zizyphus mauritania</t>
  </si>
  <si>
    <t>calliandra calothyrsus</t>
  </si>
  <si>
    <t>calliandra</t>
  </si>
  <si>
    <t>casuarina, she-oak, whistling pine</t>
  </si>
  <si>
    <t>Common name(s)</t>
  </si>
  <si>
    <t>India: pongam, ponga, kona, kanji, karanja, karanda; English: Indian beech</t>
  </si>
  <si>
    <t xml:space="preserve">acacia mearnsi </t>
  </si>
  <si>
    <t>black wattle</t>
  </si>
  <si>
    <t xml:space="preserve">psidium guajava </t>
  </si>
  <si>
    <t>Madre de cacao, kakauati (Philippines), Mexican lilac, madera negra</t>
  </si>
  <si>
    <t>gmelina, gumhar (India)</t>
  </si>
  <si>
    <t>leucaena, ipil-ipil (Philippines), uaxin (Latin America), lamtora (Indonesia), lead tree</t>
  </si>
  <si>
    <r>
      <t xml:space="preserve">mangrove spp (also </t>
    </r>
    <r>
      <rPr>
        <i/>
        <sz val="10"/>
        <rFont val="Arial"/>
        <family val="2"/>
      </rPr>
      <t>avicennia spp</t>
    </r>
    <r>
      <rPr>
        <sz val="10"/>
        <rFont val="Arial"/>
        <family val="2"/>
      </rPr>
      <t>)</t>
    </r>
  </si>
  <si>
    <t>jambolan, Java plum</t>
  </si>
  <si>
    <t>red alder</t>
  </si>
  <si>
    <t>southern blue gum, fever tree</t>
  </si>
  <si>
    <t>air dry</t>
  </si>
  <si>
    <t>egyptian thorn, babul (India), babar (Pakistan)</t>
  </si>
  <si>
    <t>umbrella thorn</t>
  </si>
  <si>
    <t xml:space="preserve">lebbek, East Indian walnut tree; </t>
  </si>
  <si>
    <t>dry</t>
  </si>
  <si>
    <t xml:space="preserve">axle-wood tree, dhausa (Hindi) </t>
  </si>
  <si>
    <t>red river gum, red gum</t>
  </si>
  <si>
    <t>quamachil, guamuchil (Mexico), Manila tamarind</t>
  </si>
  <si>
    <t>jand, khejri (India)</t>
  </si>
  <si>
    <t>Indian jujube, Indian plum</t>
  </si>
  <si>
    <t>batai, malucca albizia, ,placata</t>
  </si>
  <si>
    <t>guava, guayaba</t>
  </si>
  <si>
    <t>king wattle, green wattle, Sydney black wattle</t>
  </si>
  <si>
    <t>China berry, Persian lilac, bead tree, cape lilac</t>
  </si>
  <si>
    <t>Chinese tallow tree, soap tree, tarchabi (pahari) shishum (India)</t>
  </si>
  <si>
    <t>desert date, thorn tree, soapberry tree</t>
  </si>
  <si>
    <t>sissoo, shisham, karra, shewa</t>
  </si>
  <si>
    <t>Euphrates poplar, saf-saf, Indian poplar</t>
  </si>
  <si>
    <t xml:space="preserve">bark </t>
  </si>
  <si>
    <t>wood</t>
  </si>
  <si>
    <t>balsam fir</t>
  </si>
  <si>
    <t>beech</t>
  </si>
  <si>
    <t>black cottonwood</t>
  </si>
  <si>
    <t>black willow</t>
  </si>
  <si>
    <t>eastern hemlock</t>
  </si>
  <si>
    <t>elm</t>
  </si>
  <si>
    <t>hickory</t>
  </si>
  <si>
    <t>ponderosa pine</t>
  </si>
  <si>
    <t>red maple</t>
  </si>
  <si>
    <t>red oak</t>
  </si>
  <si>
    <t>southern pine</t>
  </si>
  <si>
    <t xml:space="preserve">btu/lb (oven dry) </t>
  </si>
  <si>
    <t xml:space="preserve">MJ/kg (oven dry) </t>
  </si>
  <si>
    <t>sycamore</t>
  </si>
  <si>
    <t>western hemlock</t>
  </si>
  <si>
    <t>western red cedar</t>
  </si>
  <si>
    <t xml:space="preserve">white oak </t>
  </si>
  <si>
    <t>abies balsamea</t>
  </si>
  <si>
    <t>fagus spp</t>
  </si>
  <si>
    <t>populus trichocarpa</t>
  </si>
  <si>
    <t>pseudotsuga menziesii</t>
  </si>
  <si>
    <t>tsuga canadensis</t>
  </si>
  <si>
    <t>ulmus spp</t>
  </si>
  <si>
    <t>pinus ponderosa</t>
  </si>
  <si>
    <t>carya spp</t>
  </si>
  <si>
    <t>acer rubrum</t>
  </si>
  <si>
    <t xml:space="preserve">quercus rubra </t>
  </si>
  <si>
    <t>pinus elliotii</t>
  </si>
  <si>
    <t>platanus occidentalis</t>
  </si>
  <si>
    <t>tsuga heterophylla</t>
  </si>
  <si>
    <t>thuja plicata</t>
  </si>
  <si>
    <t>quercus bicolor</t>
  </si>
  <si>
    <t>Data on N. American trees from Cheremisinoff (1980)</t>
  </si>
  <si>
    <t>Average Hardwood</t>
  </si>
  <si>
    <t>Average Softwood (conifer)</t>
  </si>
  <si>
    <t>Scientific Name</t>
  </si>
  <si>
    <t>Possible</t>
  </si>
  <si>
    <t>Nitrogen</t>
  </si>
  <si>
    <t>Use</t>
  </si>
  <si>
    <t>Oven-dry</t>
  </si>
  <si>
    <t>Regenerationa</t>
  </si>
  <si>
    <t>Fixingb</t>
  </si>
  <si>
    <t>(yrs)</t>
  </si>
  <si>
    <t>Acacia auriculiformis</t>
  </si>
  <si>
    <t>S, C</t>
  </si>
  <si>
    <t>Y</t>
  </si>
  <si>
    <t>F</t>
  </si>
  <si>
    <t>600-800</t>
  </si>
  <si>
    <t>Acacia decurrens</t>
  </si>
  <si>
    <t>-</t>
  </si>
  <si>
    <t>Acacia farnesiana</t>
  </si>
  <si>
    <t>Acacia leucopholea</t>
  </si>
  <si>
    <t>Acacia mearnsii</t>
  </si>
  <si>
    <t>700-850</t>
  </si>
  <si>
    <t>Albizia falcataria</t>
  </si>
  <si>
    <t>30-40</t>
  </si>
  <si>
    <t>P, T, F</t>
  </si>
  <si>
    <t>Albizia lebbeck</t>
  </si>
  <si>
    <t>T, F</t>
  </si>
  <si>
    <t>550-600</t>
  </si>
  <si>
    <t>Albizia procera</t>
  </si>
  <si>
    <t>Alnus nepalensis</t>
  </si>
  <si>
    <t>15-20</t>
  </si>
  <si>
    <t>F, P</t>
  </si>
  <si>
    <t>320-370</t>
  </si>
  <si>
    <t>Alstonia macrophylla</t>
  </si>
  <si>
    <t>S</t>
  </si>
  <si>
    <t>N</t>
  </si>
  <si>
    <t>P, T</t>
  </si>
  <si>
    <t>Anthocephalus cadamba</t>
  </si>
  <si>
    <t>Antidesma ghaessimbilla</t>
  </si>
  <si>
    <t>Avicennia officinalis</t>
  </si>
  <si>
    <t>630-700</t>
  </si>
  <si>
    <t>Bruguiera gymnorrhiza</t>
  </si>
  <si>
    <t>700-1,000</t>
  </si>
  <si>
    <t>Bruguiera parviflora</t>
  </si>
  <si>
    <t>Bruguiera sexangula</t>
  </si>
  <si>
    <t>Calliandra calothyrsus</t>
  </si>
  <si>
    <t>F, T</t>
  </si>
  <si>
    <t>510-780</t>
  </si>
  <si>
    <t>Cassia fistula</t>
  </si>
  <si>
    <t>Cassia siamea</t>
  </si>
  <si>
    <t>Cassuarina equisetifolia</t>
  </si>
  <si>
    <t>800-1,200</t>
  </si>
  <si>
    <t>Ceriops tangal</t>
  </si>
  <si>
    <t>Cocus nucifera</t>
  </si>
  <si>
    <t>Cordia dichotoma</t>
  </si>
  <si>
    <t>T</t>
  </si>
  <si>
    <t>Dalbergia latifolia</t>
  </si>
  <si>
    <t>Dalbergis sissoo</t>
  </si>
  <si>
    <t>Derris indica</t>
  </si>
  <si>
    <t>Diospyros philippinensis</t>
  </si>
  <si>
    <t>Diospyros philosanthera</t>
  </si>
  <si>
    <t>Eucalyptus camaldulensis</t>
  </si>
  <si>
    <t>17-35f</t>
  </si>
  <si>
    <t>7-10f</t>
  </si>
  <si>
    <t>Eucalyptus deglupta</t>
  </si>
  <si>
    <t>Eucalyptus globulus</t>
  </si>
  <si>
    <t>800-1,000</t>
  </si>
  <si>
    <t>Eucalyptus grandis</t>
  </si>
  <si>
    <t>17-60</t>
  </si>
  <si>
    <t>400-550</t>
  </si>
  <si>
    <t>Gigantochloa apus</t>
  </si>
  <si>
    <t>Gfiricidia sepiumg</t>
  </si>
  <si>
    <t>P, F</t>
  </si>
  <si>
    <t>Lagerstroemia speciosa</t>
  </si>
  <si>
    <t>Leucaena leucocephala</t>
  </si>
  <si>
    <t>5-10h</t>
  </si>
  <si>
    <t>530-580</t>
  </si>
  <si>
    <t>Prosopis pallida</t>
  </si>
  <si>
    <t>Rhizophora apiculata</t>
  </si>
  <si>
    <t>Rhizophora mucronata</t>
  </si>
  <si>
    <t>Schima noronhae</t>
  </si>
  <si>
    <t>Schleichera oleosa</t>
  </si>
  <si>
    <t>Sesbania grandiflora</t>
  </si>
  <si>
    <t>3-7i</t>
  </si>
  <si>
    <t>Swietenia Macrophylla</t>
  </si>
  <si>
    <t>Syzygium cumini</t>
  </si>
  <si>
    <t>Xylocarpus granatum</t>
  </si>
  <si>
    <t>Xylocarpus moluccensis</t>
  </si>
  <si>
    <t>Zizyphus talanai</t>
  </si>
  <si>
    <t>Sources: Adapted from the University of Philippines (1981) and NAS (1980).</t>
  </si>
  <si>
    <t>Notes:</t>
  </si>
  <si>
    <t>Characteristics are presented for more than 60 trees or palms that have been or may be used as energy</t>
  </si>
  <si>
    <t>sources. However, many species also have alternative or better uses, such as timber. The values in the table</t>
  </si>
  <si>
    <t>above are not always comparable; since data come from a variety of studies, uniformity of measurements and</t>
  </si>
  <si>
    <t>consistency of definitions cannot be assured. Some data are based on small species trials, making these date</t>
  </si>
  <si>
    <t>only instructive, not definitive. Great care needs to be taken, especially with air-dry density and calorific value</t>
  </si>
  <si>
    <t>estimates. Unfortunately, the moisture content for the air-dry weight was usually not given in most research.</t>
  </si>
  <si>
    <t>Calorific values generally are assumed to be high heat values-oven-dry energy contents. Rounding errors and</t>
  </si>
  <si>
    <t>varying measurement conditions, however, make the data on HHV suggestive at best. These problems may not</t>
  </si>
  <si>
    <t>be too critical to rough estimates since energy contents do not vary widely among most species. An average</t>
  </si>
  <si>
    <t>wood value often used is 15 MJ/kg at 15 percent mcwb, or 13 MJ/kg at 25 percent mcwb. The table does not</t>
  </si>
  <si>
    <t>mean to suggest that every species be used as fuelwood; it merely gives particular characteristics.</t>
  </si>
  <si>
    <t>a Regeneration code: C means tree can be coppiced; S means that regeneration is primarily from seeds or</t>
  </si>
  <si>
    <t>plantings.</t>
  </si>
  <si>
    <t>b Nitrogen-fixing code: Y means that the plant has the ability to fix nitrogen and thereby will enrich the soil; N</t>
  </si>
  <si>
    <t>means that the plant does not fix nitrogen.</t>
  </si>
  <si>
    <t>c Use priority provides a hierarchy of uses for the plant, with P indicating pulpwood, T timber, and F fuelwood.</t>
  </si>
  <si>
    <t>The typical ranking of use priority is indicated by the order of the symbols, although priority may change among</t>
  </si>
  <si>
    <t>different users.</t>
  </si>
  <si>
    <t>d HHVs may vary by 10-20 percent.</t>
  </si>
  <si>
    <t>e Average yields often increase to 30-65 m3/ha.yr after the first cutting at six months to a year.</t>
  </si>
  <si>
    <t>f Values are given for good sites; poor, dry sites average 2-11 m3/ha on a 10-14 year rotation.</t>
  </si>
  <si>
    <t>g Also known as Gliricidia maculata.</t>
  </si>
  <si>
    <t>h Well-managed plantations of giant L. leucocephala report 50-100 m3/ha.yr on a 3-5 year rotation.</t>
  </si>
  <si>
    <t>i Data for well-managed plantations.</t>
  </si>
  <si>
    <t>10-20</t>
  </si>
  <si>
    <t>10-25</t>
  </si>
  <si>
    <t>5-10</t>
  </si>
  <si>
    <t>6-10</t>
  </si>
  <si>
    <r>
      <t>10-20</t>
    </r>
    <r>
      <rPr>
        <vertAlign val="superscript"/>
        <sz val="10"/>
        <rFont val="Arial"/>
        <family val="2"/>
      </rPr>
      <t>e</t>
    </r>
  </si>
  <si>
    <t>10-15</t>
  </si>
  <si>
    <t>5-15</t>
  </si>
  <si>
    <t>10-30</t>
  </si>
  <si>
    <t>8-20</t>
  </si>
  <si>
    <r>
      <t>30-40</t>
    </r>
    <r>
      <rPr>
        <vertAlign val="superscript"/>
        <sz val="10"/>
        <rFont val="Arial"/>
        <family val="2"/>
      </rPr>
      <t>h</t>
    </r>
  </si>
  <si>
    <t>5-12</t>
  </si>
  <si>
    <r>
      <t>15-25</t>
    </r>
    <r>
      <rPr>
        <vertAlign val="superscript"/>
        <sz val="10"/>
        <rFont val="Arial"/>
        <family val="2"/>
      </rPr>
      <t>i</t>
    </r>
  </si>
  <si>
    <t>(m3/ha-yr)</t>
  </si>
  <si>
    <t>MJ/kg (oven dry)</t>
  </si>
  <si>
    <t>Ann avg yield</t>
  </si>
  <si>
    <t>Avg rot'n length</t>
  </si>
  <si>
    <t>density (kg.m^3</t>
  </si>
  <si>
    <r>
      <t>HHV</t>
    </r>
    <r>
      <rPr>
        <b/>
        <vertAlign val="superscript"/>
        <sz val="10"/>
        <rFont val="Arial"/>
        <family val="2"/>
      </rPr>
      <t>d</t>
    </r>
  </si>
  <si>
    <r>
      <t>Priority</t>
    </r>
    <r>
      <rPr>
        <b/>
        <vertAlign val="superscript"/>
        <sz val="10"/>
        <rFont val="Arial"/>
        <family val="2"/>
      </rPr>
      <t>c</t>
    </r>
  </si>
  <si>
    <t xml:space="preserve">high </t>
  </si>
  <si>
    <t>ear-leaf acacia, ear-pod wattle</t>
  </si>
  <si>
    <t>From RWEDP Report 29</t>
  </si>
  <si>
    <t>Abies Balsamea</t>
  </si>
  <si>
    <t>Acacia Auriculiformis</t>
  </si>
  <si>
    <t xml:space="preserve">Acacia Decurrens </t>
  </si>
  <si>
    <t xml:space="preserve">Acacia Mearnsi </t>
  </si>
  <si>
    <t>Acacia Nilotica</t>
  </si>
  <si>
    <t>Acacia Tortilis</t>
  </si>
  <si>
    <t>Acer Rubrum</t>
  </si>
  <si>
    <t>Albizia Falcataria</t>
  </si>
  <si>
    <t>Albizia Lebbek</t>
  </si>
  <si>
    <t>Alnus Rubra</t>
  </si>
  <si>
    <t>Anogeissus Latifolia</t>
  </si>
  <si>
    <t>Balanites Aegyptiaca</t>
  </si>
  <si>
    <t>Calliandra Calothyrsus</t>
  </si>
  <si>
    <t>Carya Spp</t>
  </si>
  <si>
    <t>Casuarina Equistofolia</t>
  </si>
  <si>
    <t>Dalbergia Sissoo</t>
  </si>
  <si>
    <t>Derris Indica</t>
  </si>
  <si>
    <t>Emblica Ofiicinalis</t>
  </si>
  <si>
    <t>Eucalyptus Camaldulensis</t>
  </si>
  <si>
    <t>Eucalyptus Globulus</t>
  </si>
  <si>
    <t>Fagus Spp</t>
  </si>
  <si>
    <t>Gliricidia Sepium</t>
  </si>
  <si>
    <t>Gmelina Arborea</t>
  </si>
  <si>
    <t>Leucaena Leucocephala</t>
  </si>
  <si>
    <t>Melia Azedarach</t>
  </si>
  <si>
    <t>Pinus Elliotii</t>
  </si>
  <si>
    <t>Pinus Ponderosa</t>
  </si>
  <si>
    <t>Pithecellobium Dulce</t>
  </si>
  <si>
    <t>Platanus Occidentalis</t>
  </si>
  <si>
    <t>Populus Euphratica</t>
  </si>
  <si>
    <t>Populus Trichocarpa</t>
  </si>
  <si>
    <t>Prosopis Cineraria</t>
  </si>
  <si>
    <t>Pseudotsuga Menziesii</t>
  </si>
  <si>
    <t xml:space="preserve">Psidium Guajava </t>
  </si>
  <si>
    <t>Quercus Bicolor</t>
  </si>
  <si>
    <t xml:space="preserve">Quercus Rubra </t>
  </si>
  <si>
    <t>Rhizophera Spp</t>
  </si>
  <si>
    <t>Sapium Sebiferum</t>
  </si>
  <si>
    <t>Syzygium Cumini</t>
  </si>
  <si>
    <t>Thuja Plicata</t>
  </si>
  <si>
    <t>Trema Spp</t>
  </si>
  <si>
    <t>Tsuga Canadensis</t>
  </si>
  <si>
    <t>Tsuga Heterophylla</t>
  </si>
  <si>
    <t>Ulmus Spp</t>
  </si>
  <si>
    <t>Zizyphus Mauritania</t>
  </si>
  <si>
    <t>Acacia Farnesiana</t>
  </si>
  <si>
    <t>Albizia Procera</t>
  </si>
  <si>
    <t>Alnus Nepalensis</t>
  </si>
  <si>
    <t>Alstonia Macrophylla</t>
  </si>
  <si>
    <t>Anthocephalus Cadamba</t>
  </si>
  <si>
    <t>Antidesma Ghaessimbilla</t>
  </si>
  <si>
    <t>Avicennia Officinalis</t>
  </si>
  <si>
    <t>Bruguiera Gymnorrhiza</t>
  </si>
  <si>
    <t>Bruguiera Parviflora</t>
  </si>
  <si>
    <t>Bruguiera Sexangula</t>
  </si>
  <si>
    <t>Cassia Fistula</t>
  </si>
  <si>
    <t>Cassia Siamea</t>
  </si>
  <si>
    <t>Cocus Nucifera</t>
  </si>
  <si>
    <t>Cordia Dichotoma</t>
  </si>
  <si>
    <t>Dalbergia Latifolia</t>
  </si>
  <si>
    <t>Diospyros Philippinensis</t>
  </si>
  <si>
    <t>Diospyros Philosanthera</t>
  </si>
  <si>
    <t>Eucalyptus Deglupta</t>
  </si>
  <si>
    <t>Eucalyptus Grandis</t>
  </si>
  <si>
    <t>Gigantochloa Apus</t>
  </si>
  <si>
    <t>Lagerstroemia Speciosa</t>
  </si>
  <si>
    <t>Prosopis Pallida</t>
  </si>
  <si>
    <t>Schima Noronhae</t>
  </si>
  <si>
    <t>Schleichera Oleosa</t>
  </si>
  <si>
    <t>Sesbania Grandiflora</t>
  </si>
  <si>
    <t>Xylocarpus Granatum</t>
  </si>
  <si>
    <t>Xylocarpus Moluccensis</t>
  </si>
  <si>
    <t>Zizyphus Talanai</t>
  </si>
  <si>
    <t>sweet acacia, sweet wattle</t>
  </si>
  <si>
    <t>Acacia Leucophloea</t>
  </si>
  <si>
    <t>kikar, kuteeera gum</t>
  </si>
  <si>
    <t>albicia, silver bark rain tree</t>
  </si>
  <si>
    <t>Nepal alder</t>
  </si>
  <si>
    <t xml:space="preserve">devil tree, </t>
  </si>
  <si>
    <t>Labula (Indonesia)</t>
  </si>
  <si>
    <t>black mangrove, large-leafed mangrove</t>
  </si>
  <si>
    <t>mangrove, api-api sudu (Philippines)</t>
  </si>
  <si>
    <t>thua shale, slender-fruited orange mangrove</t>
  </si>
  <si>
    <t>orange mangrove</t>
  </si>
  <si>
    <t>cassia stick tree, guayaba cimarrona, canafistula, golden shower, Indian laburnum, baton ‎casse, chacara, nanban-saikati, kachang kayu (woody bean), kallober, keyok, klober</t>
  </si>
  <si>
    <t>siamese cassia</t>
  </si>
  <si>
    <t>tagal mangrove, kandal</t>
  </si>
  <si>
    <t>Ceriops Tagal</t>
  </si>
  <si>
    <t>coconut palm</t>
  </si>
  <si>
    <t>anunang (Philippines), bird lime tree</t>
  </si>
  <si>
    <t>East Indian rosewood, Malabar rosewood, sitsal, beete, shisham</t>
  </si>
  <si>
    <t>kamagong (Philippines)</t>
  </si>
  <si>
    <t>bolong-eta (Philippines)</t>
  </si>
  <si>
    <t>rainbow gum tree</t>
  </si>
  <si>
    <t>rose gum, grand eucalyptus</t>
  </si>
  <si>
    <t>cacahuananche, madre de cacao</t>
  </si>
  <si>
    <t>pring tali, tabasheer bamboo</t>
  </si>
  <si>
    <t>queen's crape myrtle, giant crape myrtle</t>
  </si>
  <si>
    <t xml:space="preserve">kiawe </t>
  </si>
  <si>
    <t>kosambi (Indonesia), lac tree</t>
  </si>
  <si>
    <t>scarlet wisteria tree, agati, corkwood tree, West Indian pea</t>
  </si>
  <si>
    <t>Brazilian mahogany, caoba, Honduras mahogany, bigleaf mahogany</t>
  </si>
  <si>
    <t>cannonball mangrove, cedar mangrove</t>
  </si>
  <si>
    <t>cedar mangrove</t>
  </si>
  <si>
    <t>Anthocephalus Cadamba (Labula (Indonesia))</t>
  </si>
  <si>
    <t>HHV</t>
  </si>
  <si>
    <t>LHV</t>
  </si>
  <si>
    <t>k</t>
  </si>
  <si>
    <t>TDR</t>
  </si>
  <si>
    <t xml:space="preserve">Temp-corrected specific consumption </t>
  </si>
  <si>
    <t xml:space="preserve">Wood species (specify if different for each test) </t>
  </si>
  <si>
    <t>Wind conditions (specify if different for each test)</t>
  </si>
  <si>
    <t>Test 1</t>
  </si>
  <si>
    <t>Test 2</t>
  </si>
  <si>
    <t>Test 3</t>
  </si>
  <si>
    <t>Average</t>
  </si>
  <si>
    <t>St Dev</t>
  </si>
  <si>
    <t>(select from list or use defalut value of 20,000 MJ/kg)</t>
  </si>
  <si>
    <t>Air temp</t>
  </si>
  <si>
    <t>Average Softwood (Conifer)</t>
  </si>
  <si>
    <t>Abies Balsamea (Balsam Fir)</t>
  </si>
  <si>
    <t>Acacia Auriculiformis (Ear-Leaf Acacia, Ear-Pod Wattle)</t>
  </si>
  <si>
    <t>Acacia Decurrens  (King Wattle, Green Wattle, Sydney Black Wattle)</t>
  </si>
  <si>
    <t>Acacia Farnesiana (Sweet Acacia, Sweet Wattle)</t>
  </si>
  <si>
    <t>Acacia Leucophloea (Kikar, Kuteeera Gum)</t>
  </si>
  <si>
    <t>Acacia Mearnsi  (Black Wattle)</t>
  </si>
  <si>
    <t>Acacia Nilotica (Egyptian Thorn, Babul (India), Babar (Pakistan))</t>
  </si>
  <si>
    <t>Acacia Tortilis (Umbrella Thorn)</t>
  </si>
  <si>
    <t>Acer Rubrum (Red Maple)</t>
  </si>
  <si>
    <t>Albizia Falcataria (Batai, Malucca Albizia, ,Placata)</t>
  </si>
  <si>
    <t xml:space="preserve">Albizia Lebbek (Lebbek, East Indian Walnut Tree) </t>
  </si>
  <si>
    <t>Albizia Procera (Albicia, Silver Bark Rain Tree)</t>
  </si>
  <si>
    <t>Alnus Nepalensis (Nepal Alder)</t>
  </si>
  <si>
    <t>Alnus Rubra (Red Alder)</t>
  </si>
  <si>
    <t>Alstonia Macrophylla (Devil Tree)</t>
  </si>
  <si>
    <t>Anogeissus Latifolia (Axle-Wood Tree, Dhausa (Hindi))</t>
  </si>
  <si>
    <t>Avicennia Officinalis (Mangrove, Api-Api Sudu (Philippines))</t>
  </si>
  <si>
    <t>Balanites Aegyptiaca (Desert Date, Thorn Tree, Soapberry Tree)</t>
  </si>
  <si>
    <t>Bruguiera Gymnorrhiza (Black Mangrove, Large-Leafed Mangrove)</t>
  </si>
  <si>
    <t>Bruguiera Parviflora (Thua Shale, Slender-Fruited Orange Mangrove)</t>
  </si>
  <si>
    <t>Bruguiera Sexangula (Orange Mangrove)</t>
  </si>
  <si>
    <t>Calliandra Calothyrsus (Calliandra)</t>
  </si>
  <si>
    <t>Carya Spp (Hickory)</t>
  </si>
  <si>
    <t>Cassia Fistula (Cassia Stick Tree, Guayaba Cimarrona, Canafistula, Golden Shower, Indian Laburnum, Baton ‎Casse, Chacara, Nanban-Saikati, Kachang Kayu (Woody Bean), Kallober, Keyok, Klober)</t>
  </si>
  <si>
    <t>Cassia Siamea (Siamese Cassia)</t>
  </si>
  <si>
    <t>Casuarina Equistofolia (Casuarina, She-Oak, Whistling Pine)</t>
  </si>
  <si>
    <t>Ceriops Tagal (Tagal Mangrove, Kandal)</t>
  </si>
  <si>
    <t>Cocus Nucifera (Coconut Palm)</t>
  </si>
  <si>
    <t>Cordia Dichotoma (Anunang (Philippines), Bird Lime Tree)</t>
  </si>
  <si>
    <t>Dalbergia Latifolia (East Indian Rosewood, Malabar Rosewood, Sitsal, Beete, Shisham)</t>
  </si>
  <si>
    <t>Dalbergia Sissoo (Sissoo, Shisham, Karra, Shewa)</t>
  </si>
  <si>
    <t>Derris Indica (India: Pongam, Ponga, Kona, Kanji, Karanja, Karanda; English: Indian Beech)</t>
  </si>
  <si>
    <t>Diospyros Philippinensis (Kamagong (Philippines))</t>
  </si>
  <si>
    <t>Diospyros Philosanthera (Bolong-Eta (Philippines))</t>
  </si>
  <si>
    <t>Emblica Ofiicinalis (Madre De Cacao, Kakauati (Philippines), Mexican Lilac, Madera Negra)</t>
  </si>
  <si>
    <t>Eucalyptus Camaldulensis (Red River Gum, Red Gum)</t>
  </si>
  <si>
    <t>Eucalyptus Deglupta (Rainbow Gum Tree)</t>
  </si>
  <si>
    <t>Eucalyptus Globulus (Southern Blue Gum, Fever Tree)</t>
  </si>
  <si>
    <t>Eucalyptus Grandis (Rose Gum, Grand Eucalyptus)</t>
  </si>
  <si>
    <t>Fagus Spp (Beech)</t>
  </si>
  <si>
    <t>Gigantochloa Apus (Pring Tali, Tabasheer Bamboo)</t>
  </si>
  <si>
    <t>Gmelina Arborea (Gmelina, Gumhar (India))</t>
  </si>
  <si>
    <t>Lagerstroemia Speciosa (Queen's Crape Myrtle, Giant Crape Myrtle)</t>
  </si>
  <si>
    <t>Leucaena Leucocephala (Leucaena, Ipil-Ipil (Philippines), Uaxin (Latin America), Lamtora (Indonesia), Lead Tree)</t>
  </si>
  <si>
    <t>Melia Azedarach (China Berry, Persian Lilac, Bead Tree, Cape Lilac)</t>
  </si>
  <si>
    <t>Pinus Elliotii (Southern Pine)</t>
  </si>
  <si>
    <t>Pinus Ponderosa (Ponderosa Pine)</t>
  </si>
  <si>
    <t>Pithecellobium Dulce (Quamachil, Guamuchil (Mexico), Manila Tamarind)</t>
  </si>
  <si>
    <t>Platanus Occidentalis (Sycamore)</t>
  </si>
  <si>
    <t>Populus Euphratica (Euphrates Poplar, Saf-Saf, Indian Poplar)</t>
  </si>
  <si>
    <t>Populus Trichocarpa (Black Cottonwood)</t>
  </si>
  <si>
    <t>Prosopis Cineraria (Jand, Khejri (India))</t>
  </si>
  <si>
    <t>Prosopis Pallida (Kiawe)</t>
  </si>
  <si>
    <t>Pseudotsuga Menziesii (Douglas Fir)</t>
  </si>
  <si>
    <t>Psidium Guajava  (Guava, Guayaba)</t>
  </si>
  <si>
    <t>Quercus Bicolor (White Oak)</t>
  </si>
  <si>
    <t>Quercus Rubra  (Red Oak)</t>
  </si>
  <si>
    <r>
      <t xml:space="preserve">Rhizophera Spp (Mangrove Spp (Also </t>
    </r>
    <r>
      <rPr>
        <i/>
        <sz val="10"/>
        <rFont val="Arial"/>
        <family val="2"/>
      </rPr>
      <t>Avicennia Spp</t>
    </r>
    <r>
      <rPr>
        <sz val="10"/>
        <rFont val="Arial"/>
        <family val="2"/>
      </rPr>
      <t>))</t>
    </r>
  </si>
  <si>
    <t>Sapium Sebiferum (Chinese Tallow Tree, Soap Tree, Tarchabi (Pahari) Shishum (India))</t>
  </si>
  <si>
    <t>Schleichera Oleosa (Kosambi (Indonesia), Lac Tree)</t>
  </si>
  <si>
    <t>Sesbania Grandiflora (Scarlet Wisteria Tree, Agati, Corkwood Tree, West Indian Pea)</t>
  </si>
  <si>
    <t>Swietenia Macrophylla (Brazilian Mahogany, Caoba, Honduras Mahogany, Big Leaf Mahogany)</t>
  </si>
  <si>
    <t>Syzygium Cumini (Jambolan, Java Plum)</t>
  </si>
  <si>
    <t>Thuja Plicata (Western Red Cedar)</t>
  </si>
  <si>
    <t>Tsuga Canadensis (Eastern Hemlock)</t>
  </si>
  <si>
    <t>Tsuga Heterophylla (Western Hemlock)</t>
  </si>
  <si>
    <t>Ulmus Spp (Elm)</t>
  </si>
  <si>
    <t>Xylocarpus Granatum (Cannonball Mangrove, Cedar Mangrove)</t>
  </si>
  <si>
    <t>Xylocarpus Moluccensis (Cedar Mangrove)</t>
  </si>
  <si>
    <t>Zizyphus Mauritania (Indian Jujube, Indian Plum)</t>
  </si>
  <si>
    <t>cm x cm x cm</t>
  </si>
  <si>
    <t xml:space="preserve">Shaded cells require user input; unshaded cells automatically display outputs </t>
  </si>
  <si>
    <r>
      <t>f</t>
    </r>
    <r>
      <rPr>
        <vertAlign val="subscript"/>
        <sz val="9"/>
        <rFont val="Arial"/>
        <family val="2"/>
      </rPr>
      <t>ci</t>
    </r>
  </si>
  <si>
    <r>
      <t>f</t>
    </r>
    <r>
      <rPr>
        <vertAlign val="subscript"/>
        <sz val="9"/>
        <rFont val="Arial"/>
        <family val="2"/>
      </rPr>
      <t>cf</t>
    </r>
  </si>
  <si>
    <r>
      <t>f</t>
    </r>
    <r>
      <rPr>
        <vertAlign val="subscript"/>
        <sz val="9"/>
        <rFont val="Arial"/>
        <family val="2"/>
      </rPr>
      <t>hi</t>
    </r>
  </si>
  <si>
    <r>
      <t>f</t>
    </r>
    <r>
      <rPr>
        <vertAlign val="subscript"/>
        <sz val="9"/>
        <rFont val="Arial"/>
        <family val="2"/>
      </rPr>
      <t>hf</t>
    </r>
  </si>
  <si>
    <r>
      <t>f</t>
    </r>
    <r>
      <rPr>
        <vertAlign val="subscript"/>
        <sz val="9"/>
        <rFont val="Arial"/>
        <family val="2"/>
      </rPr>
      <t>si</t>
    </r>
  </si>
  <si>
    <r>
      <t>f</t>
    </r>
    <r>
      <rPr>
        <vertAlign val="subscript"/>
        <sz val="9"/>
        <rFont val="Arial"/>
        <family val="2"/>
      </rPr>
      <t>sf</t>
    </r>
  </si>
  <si>
    <r>
      <t>c</t>
    </r>
    <r>
      <rPr>
        <vertAlign val="subscript"/>
        <sz val="9"/>
        <rFont val="Arial"/>
        <family val="2"/>
      </rPr>
      <t>c</t>
    </r>
  </si>
  <si>
    <r>
      <t>c</t>
    </r>
    <r>
      <rPr>
        <vertAlign val="subscript"/>
        <sz val="9"/>
        <rFont val="Arial"/>
        <family val="2"/>
      </rPr>
      <t>h</t>
    </r>
  </si>
  <si>
    <r>
      <t>c</t>
    </r>
    <r>
      <rPr>
        <vertAlign val="subscript"/>
        <sz val="9"/>
        <rFont val="Arial"/>
        <family val="2"/>
      </rPr>
      <t>s</t>
    </r>
  </si>
  <si>
    <r>
      <t>t</t>
    </r>
    <r>
      <rPr>
        <vertAlign val="subscript"/>
        <sz val="9"/>
        <rFont val="Arial"/>
        <family val="2"/>
      </rPr>
      <t>ci</t>
    </r>
  </si>
  <si>
    <r>
      <t>t</t>
    </r>
    <r>
      <rPr>
        <vertAlign val="subscript"/>
        <sz val="9"/>
        <rFont val="Arial"/>
        <family val="2"/>
      </rPr>
      <t>cf</t>
    </r>
  </si>
  <si>
    <r>
      <t>t</t>
    </r>
    <r>
      <rPr>
        <vertAlign val="subscript"/>
        <sz val="9"/>
        <rFont val="Arial"/>
        <family val="2"/>
      </rPr>
      <t>hi</t>
    </r>
  </si>
  <si>
    <r>
      <t>t</t>
    </r>
    <r>
      <rPr>
        <vertAlign val="subscript"/>
        <sz val="9"/>
        <rFont val="Arial"/>
        <family val="2"/>
      </rPr>
      <t>hf</t>
    </r>
  </si>
  <si>
    <r>
      <t>t</t>
    </r>
    <r>
      <rPr>
        <vertAlign val="subscript"/>
        <sz val="9"/>
        <rFont val="Arial"/>
        <family val="2"/>
      </rPr>
      <t>si</t>
    </r>
  </si>
  <si>
    <r>
      <t>t</t>
    </r>
    <r>
      <rPr>
        <vertAlign val="subscript"/>
        <sz val="9"/>
        <rFont val="Arial"/>
        <family val="2"/>
      </rPr>
      <t>sf</t>
    </r>
  </si>
  <si>
    <r>
      <t>f</t>
    </r>
    <r>
      <rPr>
        <vertAlign val="subscript"/>
        <sz val="9"/>
        <rFont val="Arial"/>
        <family val="2"/>
      </rPr>
      <t>cm</t>
    </r>
  </si>
  <si>
    <r>
      <t>f</t>
    </r>
    <r>
      <rPr>
        <vertAlign val="subscript"/>
        <sz val="9"/>
        <rFont val="Arial"/>
        <family val="2"/>
      </rPr>
      <t>hm</t>
    </r>
  </si>
  <si>
    <r>
      <t>f</t>
    </r>
    <r>
      <rPr>
        <vertAlign val="subscript"/>
        <sz val="9"/>
        <rFont val="Arial"/>
        <family val="2"/>
      </rPr>
      <t>sm</t>
    </r>
  </si>
  <si>
    <r>
      <t>f</t>
    </r>
    <r>
      <rPr>
        <vertAlign val="subscript"/>
        <sz val="9"/>
        <rFont val="Arial"/>
        <family val="2"/>
      </rPr>
      <t>cd</t>
    </r>
  </si>
  <si>
    <r>
      <t>f</t>
    </r>
    <r>
      <rPr>
        <vertAlign val="subscript"/>
        <sz val="9"/>
        <rFont val="Arial"/>
        <family val="2"/>
      </rPr>
      <t>hd</t>
    </r>
  </si>
  <si>
    <r>
      <t>f</t>
    </r>
    <r>
      <rPr>
        <vertAlign val="subscript"/>
        <sz val="9"/>
        <rFont val="Arial"/>
        <family val="2"/>
      </rPr>
      <t>sd</t>
    </r>
  </si>
  <si>
    <r>
      <t>w</t>
    </r>
    <r>
      <rPr>
        <vertAlign val="subscript"/>
        <sz val="9"/>
        <rFont val="Arial"/>
        <family val="2"/>
      </rPr>
      <t>cv</t>
    </r>
  </si>
  <si>
    <r>
      <t>w</t>
    </r>
    <r>
      <rPr>
        <vertAlign val="subscript"/>
        <sz val="9"/>
        <rFont val="Arial"/>
        <family val="2"/>
      </rPr>
      <t>hv</t>
    </r>
  </si>
  <si>
    <r>
      <t>w</t>
    </r>
    <r>
      <rPr>
        <vertAlign val="subscript"/>
        <sz val="9"/>
        <rFont val="Arial"/>
        <family val="2"/>
      </rPr>
      <t>sv</t>
    </r>
  </si>
  <si>
    <r>
      <t>w</t>
    </r>
    <r>
      <rPr>
        <vertAlign val="subscript"/>
        <sz val="9"/>
        <rFont val="Arial"/>
        <family val="2"/>
      </rPr>
      <t>cr</t>
    </r>
  </si>
  <si>
    <r>
      <t>w</t>
    </r>
    <r>
      <rPr>
        <vertAlign val="subscript"/>
        <sz val="9"/>
        <rFont val="Arial"/>
        <family val="2"/>
      </rPr>
      <t>hr</t>
    </r>
  </si>
  <si>
    <r>
      <t>w</t>
    </r>
    <r>
      <rPr>
        <vertAlign val="subscript"/>
        <sz val="9"/>
        <rFont val="Arial"/>
        <family val="2"/>
      </rPr>
      <t>sr</t>
    </r>
  </si>
  <si>
    <r>
      <t>h</t>
    </r>
    <r>
      <rPr>
        <vertAlign val="subscript"/>
        <sz val="9"/>
        <rFont val="Arial"/>
        <family val="2"/>
      </rPr>
      <t>c</t>
    </r>
  </si>
  <si>
    <r>
      <t>h</t>
    </r>
    <r>
      <rPr>
        <vertAlign val="subscript"/>
        <sz val="9"/>
        <rFont val="Arial"/>
        <family val="2"/>
      </rPr>
      <t>h</t>
    </r>
  </si>
  <si>
    <r>
      <t>h</t>
    </r>
    <r>
      <rPr>
        <vertAlign val="subscript"/>
        <sz val="9"/>
        <rFont val="Arial"/>
        <family val="2"/>
      </rPr>
      <t>s</t>
    </r>
  </si>
  <si>
    <t>g/min</t>
  </si>
  <si>
    <r>
      <t>r</t>
    </r>
    <r>
      <rPr>
        <vertAlign val="subscript"/>
        <sz val="9"/>
        <rFont val="Arial"/>
        <family val="2"/>
      </rPr>
      <t>cb</t>
    </r>
  </si>
  <si>
    <r>
      <t>r</t>
    </r>
    <r>
      <rPr>
        <vertAlign val="subscript"/>
        <sz val="9"/>
        <rFont val="Arial"/>
        <family val="2"/>
      </rPr>
      <t>hb</t>
    </r>
  </si>
  <si>
    <r>
      <t>r</t>
    </r>
    <r>
      <rPr>
        <vertAlign val="subscript"/>
        <sz val="9"/>
        <rFont val="Arial"/>
        <family val="2"/>
      </rPr>
      <t>sb</t>
    </r>
  </si>
  <si>
    <t>g/liter</t>
  </si>
  <si>
    <r>
      <t>SC</t>
    </r>
    <r>
      <rPr>
        <vertAlign val="subscript"/>
        <sz val="9"/>
        <rFont val="Arial"/>
        <family val="2"/>
      </rPr>
      <t>c</t>
    </r>
  </si>
  <si>
    <r>
      <t>SC</t>
    </r>
    <r>
      <rPr>
        <vertAlign val="subscript"/>
        <sz val="9"/>
        <rFont val="Arial"/>
        <family val="2"/>
      </rPr>
      <t>h</t>
    </r>
  </si>
  <si>
    <r>
      <t>SC</t>
    </r>
    <r>
      <rPr>
        <vertAlign val="subscript"/>
        <sz val="9"/>
        <rFont val="Arial"/>
        <family val="2"/>
      </rPr>
      <t>s</t>
    </r>
  </si>
  <si>
    <r>
      <t>c</t>
    </r>
    <r>
      <rPr>
        <vertAlign val="subscript"/>
        <sz val="9"/>
        <rFont val="Arial"/>
        <family val="2"/>
      </rPr>
      <t>eff</t>
    </r>
  </si>
  <si>
    <r>
      <t>SC</t>
    </r>
    <r>
      <rPr>
        <vertAlign val="superscript"/>
        <sz val="9"/>
        <rFont val="Arial"/>
        <family val="2"/>
      </rPr>
      <t>T</t>
    </r>
    <r>
      <rPr>
        <vertAlign val="subscript"/>
        <sz val="9"/>
        <rFont val="Arial"/>
        <family val="2"/>
      </rPr>
      <t>c</t>
    </r>
  </si>
  <si>
    <r>
      <t>SC</t>
    </r>
    <r>
      <rPr>
        <vertAlign val="superscript"/>
        <sz val="9"/>
        <rFont val="Arial"/>
        <family val="2"/>
      </rPr>
      <t>T</t>
    </r>
    <r>
      <rPr>
        <vertAlign val="subscript"/>
        <sz val="9"/>
        <rFont val="Arial"/>
        <family val="2"/>
      </rPr>
      <t>h</t>
    </r>
  </si>
  <si>
    <r>
      <t>FP</t>
    </r>
    <r>
      <rPr>
        <vertAlign val="subscript"/>
        <sz val="9"/>
        <rFont val="Arial"/>
        <family val="2"/>
      </rPr>
      <t>s</t>
    </r>
  </si>
  <si>
    <r>
      <t>FP</t>
    </r>
    <r>
      <rPr>
        <vertAlign val="subscript"/>
        <sz val="9"/>
        <rFont val="Arial"/>
        <family val="2"/>
      </rPr>
      <t>c</t>
    </r>
  </si>
  <si>
    <r>
      <t>FP</t>
    </r>
    <r>
      <rPr>
        <vertAlign val="subscript"/>
        <sz val="9"/>
        <rFont val="Arial"/>
        <family val="2"/>
      </rPr>
      <t>h</t>
    </r>
  </si>
  <si>
    <r>
      <t>T</t>
    </r>
    <r>
      <rPr>
        <vertAlign val="subscript"/>
        <sz val="9"/>
        <rFont val="Arial"/>
        <family val="2"/>
      </rPr>
      <t>b</t>
    </r>
  </si>
  <si>
    <t>P1</t>
  </si>
  <si>
    <t>P2</t>
  </si>
  <si>
    <t>P3</t>
  </si>
  <si>
    <t>P4</t>
  </si>
  <si>
    <t>Water temperature, Pot # 2</t>
  </si>
  <si>
    <t>Water temperature, Pot # 3</t>
  </si>
  <si>
    <t>Water temperature, Pot # 4</t>
  </si>
  <si>
    <r>
      <t>T1</t>
    </r>
    <r>
      <rPr>
        <vertAlign val="subscript"/>
        <sz val="9"/>
        <rFont val="Arial"/>
        <family val="2"/>
      </rPr>
      <t>ci</t>
    </r>
  </si>
  <si>
    <r>
      <t>T1</t>
    </r>
    <r>
      <rPr>
        <vertAlign val="subscript"/>
        <sz val="9"/>
        <rFont val="Arial"/>
        <family val="2"/>
      </rPr>
      <t>cf</t>
    </r>
  </si>
  <si>
    <r>
      <t>T2</t>
    </r>
    <r>
      <rPr>
        <vertAlign val="subscript"/>
        <sz val="9"/>
        <rFont val="Arial"/>
        <family val="2"/>
      </rPr>
      <t>ci</t>
    </r>
  </si>
  <si>
    <r>
      <t>T2</t>
    </r>
    <r>
      <rPr>
        <vertAlign val="subscript"/>
        <sz val="9"/>
        <rFont val="Arial"/>
        <family val="2"/>
      </rPr>
      <t>cf</t>
    </r>
  </si>
  <si>
    <r>
      <t>T3</t>
    </r>
    <r>
      <rPr>
        <vertAlign val="subscript"/>
        <sz val="9"/>
        <rFont val="Arial"/>
        <family val="2"/>
      </rPr>
      <t>ci</t>
    </r>
  </si>
  <si>
    <r>
      <t>T3</t>
    </r>
    <r>
      <rPr>
        <vertAlign val="subscript"/>
        <sz val="9"/>
        <rFont val="Arial"/>
        <family val="2"/>
      </rPr>
      <t>cf</t>
    </r>
  </si>
  <si>
    <r>
      <t>T4</t>
    </r>
    <r>
      <rPr>
        <vertAlign val="subscript"/>
        <sz val="9"/>
        <rFont val="Arial"/>
        <family val="2"/>
      </rPr>
      <t>ci</t>
    </r>
  </si>
  <si>
    <r>
      <t>T4</t>
    </r>
    <r>
      <rPr>
        <vertAlign val="subscript"/>
        <sz val="9"/>
        <rFont val="Arial"/>
        <family val="2"/>
      </rPr>
      <t>cf</t>
    </r>
  </si>
  <si>
    <t>Dry weight of Pot # 1 (grams)</t>
  </si>
  <si>
    <t>Dry weight of Pot # 2 (grams)</t>
  </si>
  <si>
    <t>Dry weight of Pot # 3 (grams)</t>
  </si>
  <si>
    <t>Dry weight of Pot # 4 (grams)</t>
  </si>
  <si>
    <t>Weight of Pot # 2 with water</t>
  </si>
  <si>
    <t>Weight of Pot # 3 with water</t>
  </si>
  <si>
    <t>Weight of Pot # 4 with water</t>
  </si>
  <si>
    <t>Weight of Pot # 1 with water</t>
  </si>
  <si>
    <r>
      <t>P1</t>
    </r>
    <r>
      <rPr>
        <vertAlign val="subscript"/>
        <sz val="9"/>
        <rFont val="Arial"/>
        <family val="2"/>
      </rPr>
      <t>hi</t>
    </r>
  </si>
  <si>
    <r>
      <t>P1</t>
    </r>
    <r>
      <rPr>
        <vertAlign val="subscript"/>
        <sz val="9"/>
        <rFont val="Arial"/>
        <family val="2"/>
      </rPr>
      <t>hf</t>
    </r>
  </si>
  <si>
    <r>
      <t>P1</t>
    </r>
    <r>
      <rPr>
        <vertAlign val="subscript"/>
        <sz val="9"/>
        <rFont val="Arial"/>
        <family val="2"/>
      </rPr>
      <t>si</t>
    </r>
  </si>
  <si>
    <r>
      <t>P1</t>
    </r>
    <r>
      <rPr>
        <vertAlign val="subscript"/>
        <sz val="9"/>
        <rFont val="Arial"/>
        <family val="2"/>
      </rPr>
      <t>sf</t>
    </r>
  </si>
  <si>
    <r>
      <t>P2</t>
    </r>
    <r>
      <rPr>
        <vertAlign val="subscript"/>
        <sz val="9"/>
        <rFont val="Arial"/>
        <family val="2"/>
      </rPr>
      <t>hi</t>
    </r>
  </si>
  <si>
    <r>
      <t>P2</t>
    </r>
    <r>
      <rPr>
        <vertAlign val="subscript"/>
        <sz val="9"/>
        <rFont val="Arial"/>
        <family val="2"/>
      </rPr>
      <t>hf</t>
    </r>
  </si>
  <si>
    <r>
      <t>P3</t>
    </r>
    <r>
      <rPr>
        <vertAlign val="subscript"/>
        <sz val="9"/>
        <rFont val="Arial"/>
        <family val="2"/>
      </rPr>
      <t>hi</t>
    </r>
  </si>
  <si>
    <r>
      <t>P3</t>
    </r>
    <r>
      <rPr>
        <vertAlign val="subscript"/>
        <sz val="9"/>
        <rFont val="Arial"/>
        <family val="2"/>
      </rPr>
      <t>hf</t>
    </r>
  </si>
  <si>
    <r>
      <t>P4</t>
    </r>
    <r>
      <rPr>
        <vertAlign val="subscript"/>
        <sz val="9"/>
        <rFont val="Arial"/>
        <family val="2"/>
      </rPr>
      <t>hi</t>
    </r>
  </si>
  <si>
    <r>
      <t>P4</t>
    </r>
    <r>
      <rPr>
        <vertAlign val="subscript"/>
        <sz val="9"/>
        <rFont val="Arial"/>
        <family val="2"/>
      </rPr>
      <t>hf</t>
    </r>
  </si>
  <si>
    <r>
      <t>T1</t>
    </r>
    <r>
      <rPr>
        <vertAlign val="subscript"/>
        <sz val="9"/>
        <rFont val="Arial"/>
        <family val="2"/>
      </rPr>
      <t>hi</t>
    </r>
  </si>
  <si>
    <r>
      <t>T1</t>
    </r>
    <r>
      <rPr>
        <vertAlign val="subscript"/>
        <sz val="9"/>
        <rFont val="Arial"/>
        <family val="2"/>
      </rPr>
      <t>hf</t>
    </r>
  </si>
  <si>
    <r>
      <t>T1</t>
    </r>
    <r>
      <rPr>
        <vertAlign val="subscript"/>
        <sz val="9"/>
        <rFont val="Arial"/>
        <family val="2"/>
      </rPr>
      <t>si</t>
    </r>
  </si>
  <si>
    <r>
      <t>T1</t>
    </r>
    <r>
      <rPr>
        <vertAlign val="subscript"/>
        <sz val="9"/>
        <rFont val="Arial"/>
        <family val="2"/>
      </rPr>
      <t>sf</t>
    </r>
  </si>
  <si>
    <r>
      <t>T2</t>
    </r>
    <r>
      <rPr>
        <vertAlign val="subscript"/>
        <sz val="9"/>
        <rFont val="Arial"/>
        <family val="2"/>
      </rPr>
      <t>hi</t>
    </r>
  </si>
  <si>
    <r>
      <t>T2</t>
    </r>
    <r>
      <rPr>
        <vertAlign val="subscript"/>
        <sz val="9"/>
        <rFont val="Arial"/>
        <family val="2"/>
      </rPr>
      <t>hf</t>
    </r>
  </si>
  <si>
    <r>
      <t>T3</t>
    </r>
    <r>
      <rPr>
        <vertAlign val="subscript"/>
        <sz val="9"/>
        <rFont val="Arial"/>
        <family val="2"/>
      </rPr>
      <t>hi</t>
    </r>
  </si>
  <si>
    <r>
      <t>T3</t>
    </r>
    <r>
      <rPr>
        <vertAlign val="subscript"/>
        <sz val="9"/>
        <rFont val="Arial"/>
        <family val="2"/>
      </rPr>
      <t>hf</t>
    </r>
  </si>
  <si>
    <r>
      <t>T4</t>
    </r>
    <r>
      <rPr>
        <vertAlign val="subscript"/>
        <sz val="9"/>
        <rFont val="Arial"/>
        <family val="2"/>
      </rPr>
      <t>hi</t>
    </r>
  </si>
  <si>
    <r>
      <t>T4</t>
    </r>
    <r>
      <rPr>
        <vertAlign val="subscript"/>
        <sz val="9"/>
        <rFont val="Arial"/>
        <family val="2"/>
      </rPr>
      <t>hf</t>
    </r>
  </si>
  <si>
    <r>
      <t>P1</t>
    </r>
    <r>
      <rPr>
        <vertAlign val="subscript"/>
        <sz val="9"/>
        <rFont val="Arial"/>
        <family val="2"/>
      </rPr>
      <t>ci</t>
    </r>
  </si>
  <si>
    <r>
      <t>P1</t>
    </r>
    <r>
      <rPr>
        <vertAlign val="subscript"/>
        <sz val="9"/>
        <rFont val="Arial"/>
        <family val="2"/>
      </rPr>
      <t>cf</t>
    </r>
  </si>
  <si>
    <r>
      <t>P2</t>
    </r>
    <r>
      <rPr>
        <vertAlign val="subscript"/>
        <sz val="9"/>
        <rFont val="Arial"/>
        <family val="2"/>
      </rPr>
      <t>ci</t>
    </r>
  </si>
  <si>
    <r>
      <t>P2</t>
    </r>
    <r>
      <rPr>
        <vertAlign val="subscript"/>
        <sz val="9"/>
        <rFont val="Arial"/>
        <family val="2"/>
      </rPr>
      <t>cf</t>
    </r>
  </si>
  <si>
    <r>
      <t>P3</t>
    </r>
    <r>
      <rPr>
        <vertAlign val="subscript"/>
        <sz val="9"/>
        <rFont val="Arial"/>
        <family val="2"/>
      </rPr>
      <t>ci</t>
    </r>
  </si>
  <si>
    <r>
      <t>P3</t>
    </r>
    <r>
      <rPr>
        <vertAlign val="subscript"/>
        <sz val="9"/>
        <rFont val="Arial"/>
        <family val="2"/>
      </rPr>
      <t>cf</t>
    </r>
  </si>
  <si>
    <r>
      <t>P4</t>
    </r>
    <r>
      <rPr>
        <vertAlign val="subscript"/>
        <sz val="9"/>
        <rFont val="Arial"/>
        <family val="2"/>
      </rPr>
      <t>ci</t>
    </r>
  </si>
  <si>
    <r>
      <t>P4</t>
    </r>
    <r>
      <rPr>
        <vertAlign val="subscript"/>
        <sz val="9"/>
        <rFont val="Arial"/>
        <family val="2"/>
      </rPr>
      <t>cf</t>
    </r>
  </si>
  <si>
    <t>Water vaporized from all pots</t>
  </si>
  <si>
    <t>Time to boil Pot # 1</t>
  </si>
  <si>
    <t xml:space="preserve"> </t>
  </si>
  <si>
    <t>Time of simmer (should be ~45 minutes)</t>
  </si>
  <si>
    <t>Statistical Summary</t>
  </si>
  <si>
    <t>Minimum</t>
  </si>
  <si>
    <t>Maximum</t>
  </si>
  <si>
    <t>standard Deviation</t>
  </si>
  <si>
    <t>Percentiles: 25th</t>
  </si>
  <si>
    <t>50th</t>
  </si>
  <si>
    <t>75th</t>
  </si>
  <si>
    <t>NAS (1980). Firewood Crops. Washington DC, National Academy of Sciences.</t>
  </si>
  <si>
    <t>Cheremisinoff, N. (1980). Properties of Wood. Wood for Energy Production. Ann Arbor, MI, Ann Arbor Science: 31-43.</t>
  </si>
  <si>
    <t>Harker, A. P., A. Sandels, et al. (1982). Calorific values for wood and bark and a bibliography for fuelwood. London, Tropical Products Institute: 20.</t>
  </si>
  <si>
    <t>FAO (1993). Energy and Environment Basics. Bangkok, Regional Wood Energy Development Program (RWEDP): 85.</t>
  </si>
  <si>
    <t>ºC</t>
  </si>
  <si>
    <t>Measurements</t>
  </si>
  <si>
    <t xml:space="preserve">Effective calorific value </t>
  </si>
  <si>
    <t xml:space="preserve">Local boiling point </t>
  </si>
  <si>
    <t xml:space="preserve">Net change in char during test </t>
  </si>
  <si>
    <t>Fire-starting materials (if any)</t>
  </si>
  <si>
    <t xml:space="preserve">COLD START </t>
  </si>
  <si>
    <t>HOT START</t>
  </si>
  <si>
    <t>Calculations/Results</t>
  </si>
  <si>
    <t>SIMMER TEST</t>
  </si>
  <si>
    <t>after Pot #1 boils</t>
  </si>
  <si>
    <t>Pot #1 boils</t>
  </si>
  <si>
    <t>Finish: when</t>
  </si>
  <si>
    <t xml:space="preserve">Description of stove and other comments: </t>
  </si>
  <si>
    <t>Comments on the High Power - Hot Start Test:</t>
  </si>
  <si>
    <t>Comments on the High Power - Cold Start Test:</t>
  </si>
  <si>
    <t>Comments on the Low Power/Simmer Test:</t>
  </si>
  <si>
    <t>Initial Test Conditions</t>
  </si>
  <si>
    <t>Data</t>
  </si>
  <si>
    <t>value</t>
  </si>
  <si>
    <t>BASIC TEST DATA</t>
  </si>
  <si>
    <t>HOT START, COLD START, AND SIMMER TESTS</t>
  </si>
  <si>
    <t>COMMENTS</t>
  </si>
  <si>
    <t>(Select from list)</t>
  </si>
  <si>
    <t>No wind</t>
  </si>
  <si>
    <t>Light breeze</t>
  </si>
  <si>
    <t>Moderate wind</t>
  </si>
  <si>
    <t>Strong wind</t>
  </si>
  <si>
    <t>Very strong wind</t>
  </si>
  <si>
    <t>Use this worksheet if you are determining fuel moisture with the Delmhorst J-2000 or similar handheld moisture meter.  If you are using another means to determine fuel moisture, ignore this worksheet and enter the moisture in the proper space on each Test's data form.</t>
  </si>
  <si>
    <t>To find fuel moisture, take 3 pieces of fuel at random from the stock used for each test and measure each in three places along its length.  Enter the results in the spaces below.  The worksheet will authmatically calculate average moisture content on a dry and wet basis.</t>
  </si>
  <si>
    <t>Test-1</t>
  </si>
  <si>
    <t xml:space="preserve">Instrument reading </t>
  </si>
  <si>
    <t>Test-2</t>
  </si>
  <si>
    <t>Test-3</t>
  </si>
  <si>
    <t xml:space="preserve"> (% dry basis)</t>
  </si>
  <si>
    <t>Piece 1</t>
  </si>
  <si>
    <t>Piece 2</t>
  </si>
  <si>
    <t>Piece 3</t>
  </si>
  <si>
    <t>Average moisture content (%)</t>
  </si>
  <si>
    <t>dry-basis</t>
  </si>
  <si>
    <t>wet-basis</t>
  </si>
  <si>
    <t>Fuel moisture content worksheet</t>
  </si>
  <si>
    <t xml:space="preserve">Temp-corr sp consumption </t>
  </si>
  <si>
    <r>
      <t>SIMMER TEST</t>
    </r>
    <r>
      <rPr>
        <sz val="9"/>
        <rFont val="Arial"/>
        <family val="2"/>
      </rPr>
      <t xml:space="preserve"> (CALCULATIONS DIFFER FROM HIGH POWER TEST)</t>
    </r>
  </si>
  <si>
    <r>
      <t>g</t>
    </r>
    <r>
      <rPr>
        <sz val="10"/>
        <rFont val="Arial"/>
        <family val="0"/>
      </rPr>
      <t>/min</t>
    </r>
  </si>
  <si>
    <r>
      <t>g</t>
    </r>
    <r>
      <rPr>
        <sz val="10"/>
        <rFont val="Arial"/>
        <family val="0"/>
      </rPr>
      <t>/liter</t>
    </r>
  </si>
  <si>
    <t>Water remaining at end - Pot # 1</t>
  </si>
  <si>
    <t xml:space="preserve">Finish: 45 min </t>
  </si>
  <si>
    <t>DATA AND CALCULATION FORM (the form can be used with stoves that cook between one and four pots)*</t>
  </si>
  <si>
    <t xml:space="preserve">*Note, if you are testing a multi-pot stove, the data entry places in the simmering test for pots other than the primary pot are left blank intentionally because the simmering test can not account for pots other than the primary pot.  </t>
  </si>
  <si>
    <t>Effective mass of water boiled</t>
  </si>
  <si>
    <t>Wood consumed during the simmer phase (moist)</t>
  </si>
  <si>
    <t>Start:when</t>
  </si>
  <si>
    <t>Gross calorific value (dry fuel)</t>
  </si>
  <si>
    <t>(accounting for fuel moisture)</t>
  </si>
  <si>
    <t>Crop residues</t>
  </si>
  <si>
    <t>Dung</t>
  </si>
  <si>
    <t>Kerosene</t>
  </si>
  <si>
    <t>LPG</t>
  </si>
  <si>
    <t>Charcoal</t>
  </si>
  <si>
    <r>
      <t>Δc</t>
    </r>
    <r>
      <rPr>
        <vertAlign val="subscript"/>
        <sz val="9"/>
        <rFont val="Arial"/>
        <family val="2"/>
      </rPr>
      <t>c</t>
    </r>
  </si>
  <si>
    <r>
      <t>Δt</t>
    </r>
    <r>
      <rPr>
        <vertAlign val="subscript"/>
        <sz val="9"/>
        <rFont val="Arial"/>
        <family val="2"/>
      </rPr>
      <t>c</t>
    </r>
  </si>
  <si>
    <r>
      <t>Δc</t>
    </r>
    <r>
      <rPr>
        <vertAlign val="subscript"/>
        <sz val="9"/>
        <rFont val="Arial"/>
        <family val="2"/>
      </rPr>
      <t>h</t>
    </r>
  </si>
  <si>
    <r>
      <t>Δt</t>
    </r>
    <r>
      <rPr>
        <vertAlign val="subscript"/>
        <sz val="9"/>
        <rFont val="Arial"/>
        <family val="2"/>
      </rPr>
      <t>h</t>
    </r>
  </si>
  <si>
    <r>
      <t>Δt</t>
    </r>
    <r>
      <rPr>
        <vertAlign val="subscript"/>
        <sz val="9"/>
        <rFont val="Arial"/>
        <family val="2"/>
      </rPr>
      <t>s</t>
    </r>
  </si>
  <si>
    <r>
      <t>Δc</t>
    </r>
    <r>
      <rPr>
        <vertAlign val="subscript"/>
        <sz val="9"/>
        <rFont val="Arial"/>
        <family val="2"/>
      </rPr>
      <t>s</t>
    </r>
  </si>
  <si>
    <t>Fuel</t>
  </si>
  <si>
    <t>Calorific value (MJ/kg)</t>
  </si>
  <si>
    <t xml:space="preserve">Source </t>
  </si>
  <si>
    <t>Zhang et al., 2000</t>
  </si>
  <si>
    <t>IEA, 2005</t>
  </si>
  <si>
    <t>Smith et al, 2001</t>
  </si>
  <si>
    <t>Biogas</t>
  </si>
  <si>
    <t xml:space="preserve">Natural gas </t>
  </si>
  <si>
    <t>Pennise et al. 2002</t>
  </si>
  <si>
    <t>Maize stalks</t>
  </si>
  <si>
    <t>RWEDP, 1993</t>
  </si>
  <si>
    <t>Wheat stalks</t>
  </si>
  <si>
    <t>Rice stalks</t>
  </si>
  <si>
    <t>Coal</t>
  </si>
  <si>
    <t>China</t>
  </si>
  <si>
    <t>China (washed)</t>
  </si>
  <si>
    <t>US</t>
  </si>
  <si>
    <t>India</t>
  </si>
  <si>
    <t>South Africa</t>
  </si>
  <si>
    <t>@ 1.7 % MCwet</t>
  </si>
  <si>
    <t>@ ~5 % MCwet</t>
  </si>
  <si>
    <t>@ 9.1 % MCwet</t>
  </si>
  <si>
    <t>@ 5.0 % MCwet</t>
  </si>
  <si>
    <t xml:space="preserve"> @ 7.3 % MCwet</t>
  </si>
  <si>
    <t>@ 8.8 % MCwet</t>
  </si>
  <si>
    <t>@ 7.3 % MCwet</t>
  </si>
  <si>
    <t>@ 2.1 % MCwet</t>
  </si>
  <si>
    <t>@ 4.7 % MCwet</t>
  </si>
  <si>
    <t>Temp-corr time to boil Pot # 1</t>
  </si>
  <si>
    <r>
      <t>Δt</t>
    </r>
    <r>
      <rPr>
        <vertAlign val="superscript"/>
        <sz val="9"/>
        <rFont val="Arial"/>
        <family val="2"/>
      </rPr>
      <t>T</t>
    </r>
    <r>
      <rPr>
        <vertAlign val="subscript"/>
        <sz val="9"/>
        <rFont val="Arial"/>
        <family val="2"/>
      </rPr>
      <t>c</t>
    </r>
  </si>
  <si>
    <r>
      <t>Δt</t>
    </r>
    <r>
      <rPr>
        <vertAlign val="superscript"/>
        <sz val="9"/>
        <rFont val="Arial"/>
        <family val="2"/>
      </rPr>
      <t>T</t>
    </r>
    <r>
      <rPr>
        <vertAlign val="subscript"/>
        <sz val="9"/>
        <rFont val="Arial"/>
        <family val="2"/>
      </rPr>
      <t>h</t>
    </r>
  </si>
  <si>
    <t>Net calorific value (dry fuel)</t>
  </si>
  <si>
    <t>Type of fuel</t>
  </si>
  <si>
    <t>COLD START HIGH POWER</t>
  </si>
  <si>
    <t>HOT START HIGH POWER (OPTIONAL)</t>
  </si>
  <si>
    <t xml:space="preserve">Average dimensions of fuel (if solid) </t>
  </si>
  <si>
    <t>Temp-corrected time to boil Pot # 1</t>
  </si>
  <si>
    <r>
      <t xml:space="preserve">Results of three water boiling tests - </t>
    </r>
    <r>
      <rPr>
        <b/>
        <u val="single"/>
        <sz val="10"/>
        <rFont val="Arial"/>
        <family val="2"/>
      </rPr>
      <t>all cells are linked to data worksheets, no entries are required</t>
    </r>
  </si>
  <si>
    <t>hr:min</t>
  </si>
  <si>
    <t>Time (in 24 hour units)</t>
  </si>
  <si>
    <t>US DoE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</si>
</sst>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000"/>
    <numFmt numFmtId="168" formatCode="0.000000"/>
    <numFmt numFmtId="169" formatCode="0.00000"/>
    <numFmt numFmtId="170" formatCode="0.0000"/>
    <numFmt numFmtId="171" formatCode="[$-409]dddd\,\ mmmm\ dd\,\ yyyy"/>
    <numFmt numFmtId="172" formatCode="[$-409]d\-mmm\-yy;@"/>
    <numFmt numFmtId="173" formatCode="[$-809]d\ mmmm\ yyyy;@"/>
    <numFmt numFmtId="174" formatCode="#,##0.000"/>
    <numFmt numFmtId="175" formatCode="#,##0.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_(* #,##0_);_(* \(#,##0\);_(* &quot;-&quot;??_);_(@_)"/>
    <numFmt numFmtId="183" formatCode="_(* #,##0.0_);_(* \(#,##0.0\);_(* &quot;-&quot;?_);_(@_)"/>
    <numFmt numFmtId="184" formatCode="_(* #,##0.000_);_(* \(#,##0.000\);_(* &quot;-&quot;??_);_(@_)"/>
    <numFmt numFmtId="185" formatCode="_(* #,##0.0000_);_(* \(#,##0.0000\);_(* &quot;-&quot;??_);_(@_)"/>
    <numFmt numFmtId="186" formatCode="[$-409]h:mm:ss\ AM/PM"/>
    <numFmt numFmtId="187" formatCode="0.0&quot;kg&quot;"/>
    <numFmt numFmtId="188" formatCode="0.0&quot;_kg&quot;"/>
    <numFmt numFmtId="189" formatCode="0.0&quot; kg&quot;"/>
    <numFmt numFmtId="190" formatCode="[$-809]dd\ mmmm\ yyyy;@"/>
    <numFmt numFmtId="191" formatCode="dd/mm/yy;@"/>
    <numFmt numFmtId="192" formatCode="h:mm:ss;@"/>
    <numFmt numFmtId="193" formatCode="d/m/yy;@"/>
    <numFmt numFmtId="194" formatCode="[$-409]mmmm\ d\,\ yyyy;@"/>
    <numFmt numFmtId="195" formatCode="m/d/yyyy;@"/>
    <numFmt numFmtId="196" formatCode="h:mm;@"/>
    <numFmt numFmtId="197" formatCode="_(* #,##0.00000_);_(* \(#,##0.00000\);_(* &quot;-&quot;??_);_(@_)"/>
    <numFmt numFmtId="198" formatCode="_(* #,##0.000000_);_(* \(#,##0.000000\);_(* &quot;-&quot;??_);_(@_)"/>
    <numFmt numFmtId="199" formatCode="_(* #,##0.0000000_);_(* \(#,##0.0000000\);_(* &quot;-&quot;??_);_(@_)"/>
    <numFmt numFmtId="200" formatCode="_(* #,##0.00000000_);_(* \(#,##0.00000000\);_(* &quot;-&quot;??_);_(@_)"/>
    <numFmt numFmtId="201" formatCode="_(* #,##0.000000000_);_(* \(#,##0.000000000\);_(* &quot;-&quot;??_);_(@_)"/>
    <numFmt numFmtId="202" formatCode="_(* #,##0.0000000000_);_(* \(#,##0.0000000000\);_(* &quot;-&quot;??_);_(@_)"/>
    <numFmt numFmtId="203" formatCode="_(* #,##0.00000000000_);_(* \(#,##0.00000000000\);_(* &quot;-&quot;??_);_(@_)"/>
    <numFmt numFmtId="204" formatCode="_(* #,##0.000000000000_);_(* \(#,##0.000000000000\);_(* &quot;-&quot;??_);_(@_)"/>
    <numFmt numFmtId="205" formatCode="_(* #,##0.0000000000000_);_(* \(#,##0.0000000000000\);_(* &quot;-&quot;??_);_(@_)"/>
    <numFmt numFmtId="206" formatCode="_(* #,##0.00000000000000_);_(* \(#,##0.00000000000000\);_(* &quot;-&quot;??_);_(@_)"/>
  </numFmts>
  <fonts count="19">
    <font>
      <sz val="10"/>
      <name val="Arial"/>
      <family val="0"/>
    </font>
    <font>
      <u val="single"/>
      <sz val="10"/>
      <color indexed="12"/>
      <name val="Arial"/>
      <family val="0"/>
    </font>
    <font>
      <u val="single"/>
      <sz val="10"/>
      <color indexed="36"/>
      <name val="Arial"/>
      <family val="0"/>
    </font>
    <font>
      <sz val="8"/>
      <name val="Tahoma"/>
      <family val="0"/>
    </font>
    <font>
      <vertAlign val="superscript"/>
      <sz val="10"/>
      <name val="Arial"/>
      <family val="2"/>
    </font>
    <font>
      <b/>
      <sz val="10"/>
      <name val="Arial"/>
      <family val="2"/>
    </font>
    <font>
      <i/>
      <sz val="10"/>
      <name val="Arial"/>
      <family val="2"/>
    </font>
    <font>
      <b/>
      <vertAlign val="superscript"/>
      <sz val="10"/>
      <name val="Arial"/>
      <family val="2"/>
    </font>
    <font>
      <b/>
      <sz val="9"/>
      <name val="Arial"/>
      <family val="2"/>
    </font>
    <font>
      <u val="single"/>
      <sz val="9"/>
      <name val="Arial"/>
      <family val="2"/>
    </font>
    <font>
      <b/>
      <i/>
      <sz val="9"/>
      <name val="Arial"/>
      <family val="2"/>
    </font>
    <font>
      <sz val="9"/>
      <name val="Arial"/>
      <family val="2"/>
    </font>
    <font>
      <vertAlign val="subscript"/>
      <sz val="9"/>
      <name val="Arial"/>
      <family val="2"/>
    </font>
    <font>
      <vertAlign val="superscript"/>
      <sz val="9"/>
      <name val="Arial"/>
      <family val="2"/>
    </font>
    <font>
      <sz val="8"/>
      <name val="Arial"/>
      <family val="2"/>
    </font>
    <font>
      <vertAlign val="subscript"/>
      <sz val="8"/>
      <name val="Arial"/>
      <family val="2"/>
    </font>
    <font>
      <b/>
      <sz val="8"/>
      <name val="Arial"/>
      <family val="2"/>
    </font>
    <font>
      <b/>
      <sz val="8"/>
      <name val="Tahoma"/>
      <family val="0"/>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hair"/>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hair"/>
      <bottom>
        <color indexed="63"/>
      </bottom>
    </border>
    <border>
      <left>
        <color indexed="63"/>
      </left>
      <right style="medium"/>
      <top>
        <color indexed="63"/>
      </top>
      <bottom>
        <color indexed="63"/>
      </bottom>
    </border>
    <border>
      <left style="double"/>
      <right>
        <color indexed="63"/>
      </right>
      <top style="double"/>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medium"/>
    </border>
    <border>
      <left>
        <color indexed="63"/>
      </left>
      <right style="thin"/>
      <top>
        <color indexed="63"/>
      </top>
      <bottom>
        <color indexed="63"/>
      </bottom>
    </border>
    <border>
      <left style="hair"/>
      <right style="hair"/>
      <top style="hair"/>
      <bottom style="hair"/>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style="medium"/>
    </border>
    <border>
      <left style="double"/>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color indexed="63"/>
      </right>
      <top style="thin"/>
      <bottom style="double"/>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hair"/>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6">
    <xf numFmtId="0" fontId="0" fillId="0" borderId="0" xfId="0" applyAlignment="1">
      <alignment/>
    </xf>
    <xf numFmtId="0" fontId="5" fillId="0" borderId="0" xfId="0" applyFont="1" applyAlignment="1">
      <alignment wrapText="1"/>
    </xf>
    <xf numFmtId="182" fontId="5" fillId="0" borderId="0" xfId="15" applyNumberFormat="1" applyFont="1" applyAlignment="1">
      <alignment horizontal="center" wrapText="1"/>
    </xf>
    <xf numFmtId="0" fontId="0" fillId="0" borderId="0" xfId="0" applyFont="1" applyAlignment="1">
      <alignment/>
    </xf>
    <xf numFmtId="0" fontId="0" fillId="0" borderId="0" xfId="0" applyBorder="1" applyAlignment="1">
      <alignment horizontal="center"/>
    </xf>
    <xf numFmtId="0" fontId="5" fillId="0" borderId="0" xfId="0" applyFont="1" applyAlignment="1">
      <alignment/>
    </xf>
    <xf numFmtId="0" fontId="5" fillId="0" borderId="0" xfId="0" applyFont="1" applyAlignment="1">
      <alignment horizontal="right"/>
    </xf>
    <xf numFmtId="0" fontId="0" fillId="0" borderId="1" xfId="0" applyFont="1" applyBorder="1" applyAlignment="1">
      <alignment/>
    </xf>
    <xf numFmtId="0" fontId="0" fillId="0" borderId="0" xfId="0" applyBorder="1" applyAlignment="1">
      <alignment/>
    </xf>
    <xf numFmtId="182" fontId="0" fillId="0" borderId="0" xfId="15" applyNumberFormat="1" applyFont="1" applyAlignment="1">
      <alignment/>
    </xf>
    <xf numFmtId="0" fontId="0" fillId="2" borderId="0" xfId="0" applyFont="1" applyFill="1" applyAlignment="1">
      <alignment/>
    </xf>
    <xf numFmtId="182" fontId="0" fillId="2" borderId="0" xfId="15" applyNumberFormat="1" applyFont="1" applyFill="1" applyAlignment="1">
      <alignment/>
    </xf>
    <xf numFmtId="0" fontId="0" fillId="0" borderId="0" xfId="0" applyFont="1" applyAlignment="1" quotePrefix="1">
      <alignment horizontal="right"/>
    </xf>
    <xf numFmtId="16" fontId="0" fillId="0" borderId="0" xfId="0" applyNumberFormat="1" applyFont="1" applyAlignment="1" quotePrefix="1">
      <alignment horizontal="right"/>
    </xf>
    <xf numFmtId="16" fontId="0" fillId="0" borderId="0" xfId="0" applyNumberFormat="1" applyFont="1" applyAlignment="1">
      <alignment/>
    </xf>
    <xf numFmtId="0" fontId="0" fillId="0" borderId="0" xfId="0" applyFont="1" applyAlignment="1">
      <alignment horizontal="right"/>
    </xf>
    <xf numFmtId="182" fontId="0" fillId="0" borderId="0" xfId="0" applyNumberFormat="1" applyFont="1" applyAlignment="1">
      <alignment/>
    </xf>
    <xf numFmtId="1" fontId="0" fillId="0" borderId="0" xfId="0" applyNumberFormat="1" applyFont="1" applyAlignment="1">
      <alignment/>
    </xf>
    <xf numFmtId="1" fontId="0" fillId="0" borderId="1" xfId="0" applyNumberFormat="1" applyFont="1" applyBorder="1" applyAlignment="1">
      <alignment/>
    </xf>
    <xf numFmtId="182" fontId="0" fillId="0" borderId="1" xfId="15" applyNumberFormat="1" applyFont="1" applyBorder="1" applyAlignment="1">
      <alignment/>
    </xf>
    <xf numFmtId="0" fontId="0" fillId="0" borderId="0" xfId="0" applyFont="1" applyFill="1" applyAlignment="1">
      <alignment/>
    </xf>
    <xf numFmtId="0" fontId="8" fillId="0" borderId="0" xfId="0" applyFont="1" applyBorder="1" applyAlignment="1">
      <alignment horizontal="left"/>
    </xf>
    <xf numFmtId="0" fontId="8" fillId="0" borderId="0" xfId="0" applyFont="1" applyBorder="1" applyAlignment="1">
      <alignment/>
    </xf>
    <xf numFmtId="0" fontId="9" fillId="0" borderId="0" xfId="0" applyFont="1" applyBorder="1" applyAlignment="1">
      <alignment horizontal="center"/>
    </xf>
    <xf numFmtId="0" fontId="11" fillId="0" borderId="0" xfId="0" applyFont="1" applyBorder="1" applyAlignment="1">
      <alignment horizontal="center" wrapText="1"/>
    </xf>
    <xf numFmtId="0" fontId="11" fillId="0" borderId="0"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xf>
    <xf numFmtId="0" fontId="8" fillId="0" borderId="0" xfId="0" applyFont="1" applyBorder="1" applyAlignment="1">
      <alignment vertical="top"/>
    </xf>
    <xf numFmtId="0" fontId="11" fillId="0" borderId="0" xfId="0" applyFont="1" applyAlignment="1">
      <alignment/>
    </xf>
    <xf numFmtId="182" fontId="8" fillId="0" borderId="0" xfId="15" applyNumberFormat="1" applyFont="1" applyBorder="1" applyAlignment="1">
      <alignment/>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right" vertical="top" wrapText="1"/>
    </xf>
    <xf numFmtId="182" fontId="11" fillId="0" borderId="0" xfId="0" applyNumberFormat="1" applyFont="1" applyAlignment="1">
      <alignment vertical="top"/>
    </xf>
    <xf numFmtId="0" fontId="5" fillId="0" borderId="0" xfId="0" applyFont="1" applyBorder="1" applyAlignment="1">
      <alignment/>
    </xf>
    <xf numFmtId="0" fontId="0" fillId="0" borderId="0" xfId="0" applyFont="1" applyBorder="1" applyAlignment="1">
      <alignment/>
    </xf>
    <xf numFmtId="0" fontId="8" fillId="0" borderId="2" xfId="0" applyFont="1" applyBorder="1" applyAlignment="1">
      <alignment vertical="top"/>
    </xf>
    <xf numFmtId="0" fontId="10" fillId="0" borderId="0" xfId="0" applyFont="1" applyBorder="1" applyAlignment="1">
      <alignment horizontal="left"/>
    </xf>
    <xf numFmtId="0" fontId="10" fillId="0" borderId="0"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4" xfId="0" applyFont="1" applyBorder="1" applyAlignment="1">
      <alignment horizontal="center"/>
    </xf>
    <xf numFmtId="0" fontId="8" fillId="0" borderId="1" xfId="0" applyFont="1" applyBorder="1" applyAlignment="1">
      <alignment/>
    </xf>
    <xf numFmtId="0" fontId="8" fillId="0" borderId="1" xfId="0" applyFont="1" applyBorder="1" applyAlignment="1">
      <alignment horizontal="left" wrapText="1"/>
    </xf>
    <xf numFmtId="0" fontId="8" fillId="0" borderId="1" xfId="0" applyFont="1" applyBorder="1" applyAlignment="1">
      <alignment wrapText="1"/>
    </xf>
    <xf numFmtId="0" fontId="8" fillId="0" borderId="5" xfId="0" applyFont="1" applyBorder="1" applyAlignment="1" applyProtection="1">
      <alignment horizontal="center"/>
      <protection locked="0"/>
    </xf>
    <xf numFmtId="0" fontId="11" fillId="0" borderId="0" xfId="0" applyFont="1" applyAlignment="1">
      <alignment/>
    </xf>
    <xf numFmtId="0" fontId="11" fillId="0" borderId="6" xfId="0" applyFont="1" applyBorder="1" applyAlignment="1">
      <alignment/>
    </xf>
    <xf numFmtId="0" fontId="11" fillId="0" borderId="7" xfId="0" applyFont="1" applyBorder="1" applyAlignment="1">
      <alignment/>
    </xf>
    <xf numFmtId="0" fontId="5" fillId="0" borderId="0" xfId="0" applyFont="1" applyBorder="1" applyAlignment="1">
      <alignment horizontal="left" wrapText="1"/>
    </xf>
    <xf numFmtId="0" fontId="11" fillId="0" borderId="8" xfId="0" applyFont="1" applyBorder="1" applyAlignment="1">
      <alignment horizontal="left"/>
    </xf>
    <xf numFmtId="0" fontId="11" fillId="0" borderId="9" xfId="0" applyFont="1" applyBorder="1" applyAlignment="1">
      <alignment horizontal="left"/>
    </xf>
    <xf numFmtId="0" fontId="11" fillId="0" borderId="8" xfId="0" applyFont="1" applyBorder="1" applyAlignment="1">
      <alignment/>
    </xf>
    <xf numFmtId="0" fontId="11" fillId="0" borderId="9" xfId="0" applyFont="1" applyBorder="1" applyAlignment="1">
      <alignment/>
    </xf>
    <xf numFmtId="0" fontId="11" fillId="3" borderId="10" xfId="0" applyFont="1" applyFill="1" applyBorder="1" applyAlignment="1" applyProtection="1">
      <alignment/>
      <protection locked="0"/>
    </xf>
    <xf numFmtId="0" fontId="11" fillId="3" borderId="10" xfId="0" applyFont="1" applyFill="1" applyBorder="1" applyAlignment="1" applyProtection="1">
      <alignment horizontal="left"/>
      <protection locked="0"/>
    </xf>
    <xf numFmtId="1" fontId="11" fillId="3" borderId="10" xfId="0" applyNumberFormat="1" applyFont="1" applyFill="1" applyBorder="1" applyAlignment="1" applyProtection="1">
      <alignment/>
      <protection locked="0"/>
    </xf>
    <xf numFmtId="0" fontId="11" fillId="0" borderId="0" xfId="0" applyFont="1" applyBorder="1" applyAlignment="1" applyProtection="1">
      <alignment horizontal="left"/>
      <protection locked="0"/>
    </xf>
    <xf numFmtId="0" fontId="11" fillId="0" borderId="5" xfId="0" applyFont="1" applyBorder="1" applyAlignment="1">
      <alignment/>
    </xf>
    <xf numFmtId="0" fontId="11" fillId="0" borderId="5" xfId="0" applyFont="1" applyBorder="1" applyAlignment="1" applyProtection="1">
      <alignment horizontal="left"/>
      <protection locked="0"/>
    </xf>
    <xf numFmtId="182" fontId="11" fillId="3" borderId="10" xfId="15" applyNumberFormat="1" applyFont="1" applyFill="1" applyBorder="1" applyAlignment="1" applyProtection="1">
      <alignment horizontal="right"/>
      <protection locked="0"/>
    </xf>
    <xf numFmtId="3" fontId="11" fillId="0" borderId="0" xfId="0" applyNumberFormat="1" applyFont="1" applyBorder="1" applyAlignment="1">
      <alignment horizontal="left"/>
    </xf>
    <xf numFmtId="9" fontId="11" fillId="0" borderId="0" xfId="21" applyFont="1" applyBorder="1" applyAlignment="1">
      <alignment horizontal="left"/>
    </xf>
    <xf numFmtId="0" fontId="11" fillId="0" borderId="0"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0" xfId="0" applyFont="1" applyBorder="1" applyAlignment="1" quotePrefix="1">
      <alignment horizontal="center"/>
    </xf>
    <xf numFmtId="184" fontId="11" fillId="0" borderId="0" xfId="0" applyNumberFormat="1" applyFont="1" applyBorder="1" applyAlignment="1">
      <alignment/>
    </xf>
    <xf numFmtId="0" fontId="8" fillId="4" borderId="0" xfId="0" applyFont="1" applyFill="1" applyBorder="1" applyAlignment="1">
      <alignment/>
    </xf>
    <xf numFmtId="0" fontId="8" fillId="0" borderId="1" xfId="0" applyFont="1" applyBorder="1" applyAlignment="1">
      <alignment horizontal="center" wrapText="1"/>
    </xf>
    <xf numFmtId="0" fontId="11" fillId="0" borderId="0" xfId="0" applyFont="1" applyBorder="1" applyAlignment="1">
      <alignment horizontal="left" vertical="top"/>
    </xf>
    <xf numFmtId="0" fontId="8" fillId="4" borderId="0" xfId="0" applyFont="1" applyFill="1" applyBorder="1" applyAlignment="1">
      <alignment horizontal="left" indent="2"/>
    </xf>
    <xf numFmtId="0" fontId="11" fillId="0" borderId="0" xfId="0" applyFont="1" applyBorder="1" applyAlignment="1">
      <alignment horizontal="left" indent="2"/>
    </xf>
    <xf numFmtId="0" fontId="11" fillId="0" borderId="13" xfId="0" applyFont="1" applyFill="1" applyBorder="1" applyAlignment="1" applyProtection="1">
      <alignment/>
      <protection locked="0"/>
    </xf>
    <xf numFmtId="0" fontId="8" fillId="0" borderId="8" xfId="0" applyFont="1" applyBorder="1" applyAlignment="1">
      <alignment horizontal="left" indent="1"/>
    </xf>
    <xf numFmtId="0" fontId="11" fillId="0" borderId="14" xfId="0" applyFont="1" applyBorder="1" applyAlignment="1">
      <alignment/>
    </xf>
    <xf numFmtId="0" fontId="11" fillId="0" borderId="5" xfId="0" applyFont="1" applyBorder="1" applyAlignment="1">
      <alignment/>
    </xf>
    <xf numFmtId="0" fontId="11" fillId="0" borderId="15" xfId="0" applyFont="1" applyBorder="1" applyAlignment="1">
      <alignment/>
    </xf>
    <xf numFmtId="0" fontId="11" fillId="0" borderId="6" xfId="0" applyFont="1" applyBorder="1" applyAlignment="1">
      <alignment/>
    </xf>
    <xf numFmtId="0" fontId="11" fillId="0" borderId="7" xfId="0" applyFont="1" applyBorder="1" applyAlignment="1">
      <alignment/>
    </xf>
    <xf numFmtId="0" fontId="11" fillId="0" borderId="9" xfId="0" applyFont="1" applyBorder="1" applyAlignment="1">
      <alignment/>
    </xf>
    <xf numFmtId="0" fontId="11" fillId="0" borderId="8" xfId="0" applyFont="1" applyBorder="1" applyAlignment="1">
      <alignment/>
    </xf>
    <xf numFmtId="0" fontId="11" fillId="0" borderId="11" xfId="0" applyFont="1" applyBorder="1" applyAlignment="1">
      <alignment/>
    </xf>
    <xf numFmtId="0" fontId="11" fillId="0" borderId="4" xfId="0" applyFont="1" applyBorder="1" applyAlignment="1">
      <alignment/>
    </xf>
    <xf numFmtId="0" fontId="11" fillId="0" borderId="4" xfId="0" applyFont="1" applyBorder="1" applyAlignment="1">
      <alignment horizontal="center"/>
    </xf>
    <xf numFmtId="182" fontId="11" fillId="0" borderId="4" xfId="15" applyNumberFormat="1" applyFont="1" applyBorder="1" applyAlignment="1">
      <alignment/>
    </xf>
    <xf numFmtId="0" fontId="11" fillId="0" borderId="4" xfId="0" applyFont="1" applyBorder="1" applyAlignment="1">
      <alignment horizontal="center" wrapText="1"/>
    </xf>
    <xf numFmtId="0" fontId="11" fillId="0" borderId="12" xfId="0" applyFont="1" applyBorder="1" applyAlignment="1">
      <alignment/>
    </xf>
    <xf numFmtId="0" fontId="11" fillId="0" borderId="2" xfId="0" applyFont="1" applyBorder="1" applyAlignment="1">
      <alignment/>
    </xf>
    <xf numFmtId="0" fontId="8" fillId="0" borderId="3" xfId="0" applyFont="1" applyFill="1" applyBorder="1" applyAlignment="1" applyProtection="1">
      <alignment/>
      <protection locked="0"/>
    </xf>
    <xf numFmtId="0" fontId="11" fillId="0" borderId="3"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3" borderId="18" xfId="0" applyFont="1" applyFill="1" applyBorder="1" applyAlignment="1" applyProtection="1">
      <alignment horizontal="left"/>
      <protection locked="0"/>
    </xf>
    <xf numFmtId="0" fontId="11" fillId="3" borderId="19" xfId="0" applyFont="1" applyFill="1" applyBorder="1" applyAlignment="1" applyProtection="1">
      <alignment horizontal="left"/>
      <protection locked="0"/>
    </xf>
    <xf numFmtId="0" fontId="11" fillId="0" borderId="0" xfId="0" applyFont="1" applyBorder="1" applyAlignment="1" applyProtection="1">
      <alignment/>
      <protection locked="0"/>
    </xf>
    <xf numFmtId="0" fontId="8" fillId="0" borderId="5" xfId="0" applyFont="1" applyBorder="1" applyAlignment="1">
      <alignment/>
    </xf>
    <xf numFmtId="182" fontId="11" fillId="0" borderId="10" xfId="15" applyNumberFormat="1" applyFont="1" applyBorder="1" applyAlignment="1" applyProtection="1">
      <alignment horizontal="right"/>
      <protection/>
    </xf>
    <xf numFmtId="182" fontId="11" fillId="0" borderId="10" xfId="15" applyNumberFormat="1" applyFont="1" applyBorder="1" applyAlignment="1" applyProtection="1">
      <alignment/>
      <protection/>
    </xf>
    <xf numFmtId="43" fontId="11" fillId="0" borderId="10" xfId="15" applyNumberFormat="1" applyFont="1" applyBorder="1" applyAlignment="1" applyProtection="1">
      <alignment/>
      <protection/>
    </xf>
    <xf numFmtId="0" fontId="11" fillId="0" borderId="20" xfId="0" applyFont="1" applyBorder="1" applyAlignment="1">
      <alignment/>
    </xf>
    <xf numFmtId="0" fontId="0" fillId="0" borderId="1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1" xfId="0" applyBorder="1" applyAlignment="1">
      <alignment/>
    </xf>
    <xf numFmtId="0" fontId="5" fillId="0" borderId="9" xfId="0" applyFont="1" applyBorder="1" applyAlignment="1">
      <alignment wrapText="1"/>
    </xf>
    <xf numFmtId="0" fontId="5" fillId="0" borderId="9" xfId="0" applyFont="1" applyBorder="1" applyAlignment="1">
      <alignment horizontal="left" wrapText="1"/>
    </xf>
    <xf numFmtId="0" fontId="0" fillId="0" borderId="2" xfId="0" applyBorder="1" applyAlignment="1">
      <alignment/>
    </xf>
    <xf numFmtId="0" fontId="0" fillId="0" borderId="3" xfId="0" applyBorder="1" applyAlignment="1">
      <alignment/>
    </xf>
    <xf numFmtId="0" fontId="0" fillId="0" borderId="16" xfId="0" applyBorder="1" applyAlignment="1">
      <alignment/>
    </xf>
    <xf numFmtId="0" fontId="0" fillId="0" borderId="17" xfId="0" applyBorder="1" applyAlignment="1">
      <alignment/>
    </xf>
    <xf numFmtId="0" fontId="0" fillId="0" borderId="21" xfId="0" applyBorder="1" applyAlignment="1">
      <alignment/>
    </xf>
    <xf numFmtId="0" fontId="0" fillId="0" borderId="0" xfId="0" applyFill="1" applyBorder="1" applyAlignment="1">
      <alignment horizontal="right"/>
    </xf>
    <xf numFmtId="9" fontId="0" fillId="0" borderId="22" xfId="21" applyFill="1" applyBorder="1" applyAlignment="1">
      <alignment/>
    </xf>
    <xf numFmtId="0" fontId="0" fillId="0" borderId="0" xfId="0" applyBorder="1" applyAlignment="1">
      <alignment horizontal="right"/>
    </xf>
    <xf numFmtId="0" fontId="0" fillId="0" borderId="23" xfId="0" applyBorder="1" applyAlignment="1">
      <alignment/>
    </xf>
    <xf numFmtId="0" fontId="11" fillId="0" borderId="14" xfId="0" applyFont="1" applyBorder="1" applyAlignment="1">
      <alignment horizontal="center"/>
    </xf>
    <xf numFmtId="0" fontId="0" fillId="0" borderId="1" xfId="0" applyBorder="1" applyAlignment="1">
      <alignment/>
    </xf>
    <xf numFmtId="0" fontId="0" fillId="0" borderId="1" xfId="0" applyFill="1" applyBorder="1" applyAlignment="1">
      <alignment/>
    </xf>
    <xf numFmtId="0" fontId="0" fillId="0" borderId="24" xfId="0" applyBorder="1" applyAlignment="1">
      <alignment/>
    </xf>
    <xf numFmtId="0" fontId="0" fillId="0" borderId="0" xfId="0" applyFill="1" applyBorder="1" applyAlignment="1">
      <alignment/>
    </xf>
    <xf numFmtId="0" fontId="11" fillId="0" borderId="14" xfId="0" applyFont="1" applyBorder="1" applyAlignment="1">
      <alignment horizontal="center" wrapText="1"/>
    </xf>
    <xf numFmtId="0" fontId="11" fillId="0" borderId="14" xfId="0" applyFont="1" applyBorder="1" applyAlignment="1">
      <alignment/>
    </xf>
    <xf numFmtId="0" fontId="11" fillId="0" borderId="14" xfId="0" applyFont="1" applyBorder="1" applyAlignment="1" quotePrefix="1">
      <alignment horizontal="center"/>
    </xf>
    <xf numFmtId="0" fontId="11" fillId="0" borderId="15" xfId="0" applyFont="1" applyBorder="1" applyAlignment="1">
      <alignment/>
    </xf>
    <xf numFmtId="0" fontId="11" fillId="0" borderId="20" xfId="0" applyFont="1" applyBorder="1" applyAlignment="1">
      <alignment horizontal="center"/>
    </xf>
    <xf numFmtId="0" fontId="11" fillId="0" borderId="5" xfId="0" applyFont="1" applyFill="1" applyBorder="1" applyAlignment="1" applyProtection="1">
      <alignment/>
      <protection/>
    </xf>
    <xf numFmtId="0" fontId="11" fillId="0" borderId="20" xfId="0" applyFont="1" applyFill="1" applyBorder="1" applyAlignment="1" applyProtection="1">
      <alignment horizontal="center" wrapText="1"/>
      <protection/>
    </xf>
    <xf numFmtId="0" fontId="11" fillId="0" borderId="5" xfId="0" applyFont="1" applyFill="1" applyBorder="1" applyAlignment="1" applyProtection="1">
      <alignment horizontal="center" wrapText="1"/>
      <protection/>
    </xf>
    <xf numFmtId="0" fontId="11" fillId="0" borderId="5" xfId="0" applyFont="1" applyFill="1" applyBorder="1" applyAlignment="1" applyProtection="1">
      <alignment/>
      <protection/>
    </xf>
    <xf numFmtId="0" fontId="11" fillId="0" borderId="25" xfId="0" applyFont="1" applyBorder="1" applyAlignment="1">
      <alignment/>
    </xf>
    <xf numFmtId="0" fontId="8" fillId="0" borderId="14" xfId="0" applyFont="1" applyBorder="1" applyAlignment="1">
      <alignment/>
    </xf>
    <xf numFmtId="0" fontId="11" fillId="0" borderId="14" xfId="0" applyFont="1" applyBorder="1" applyAlignment="1">
      <alignment horizontal="left"/>
    </xf>
    <xf numFmtId="0" fontId="11" fillId="0" borderId="20" xfId="0" applyFont="1" applyBorder="1" applyAlignment="1">
      <alignment/>
    </xf>
    <xf numFmtId="0" fontId="11" fillId="0" borderId="26" xfId="0" applyFont="1" applyBorder="1" applyAlignment="1">
      <alignment/>
    </xf>
    <xf numFmtId="0" fontId="11" fillId="0" borderId="27" xfId="0" applyFont="1" applyBorder="1" applyAlignment="1">
      <alignment/>
    </xf>
    <xf numFmtId="0" fontId="11" fillId="0" borderId="28" xfId="0" applyFont="1" applyBorder="1" applyAlignment="1">
      <alignment/>
    </xf>
    <xf numFmtId="0" fontId="11" fillId="0" borderId="20" xfId="0" applyFont="1" applyBorder="1" applyAlignment="1">
      <alignment horizontal="center" wrapText="1"/>
    </xf>
    <xf numFmtId="0" fontId="8" fillId="0" borderId="29" xfId="0" applyFont="1" applyBorder="1" applyAlignment="1">
      <alignment horizontal="left" indent="1"/>
    </xf>
    <xf numFmtId="0" fontId="11" fillId="0" borderId="29" xfId="0" applyFont="1" applyBorder="1" applyAlignment="1">
      <alignment/>
    </xf>
    <xf numFmtId="0" fontId="8" fillId="0" borderId="30" xfId="0" applyFont="1" applyBorder="1" applyAlignment="1">
      <alignment/>
    </xf>
    <xf numFmtId="0" fontId="11" fillId="0" borderId="5" xfId="0" applyFont="1" applyBorder="1" applyAlignment="1">
      <alignment horizontal="center"/>
    </xf>
    <xf numFmtId="0" fontId="11" fillId="0" borderId="27" xfId="0" applyFont="1" applyFill="1" applyBorder="1" applyAlignment="1" applyProtection="1">
      <alignment/>
      <protection/>
    </xf>
    <xf numFmtId="0" fontId="11" fillId="0" borderId="31" xfId="0" applyFont="1" applyBorder="1" applyAlignment="1">
      <alignment/>
    </xf>
    <xf numFmtId="0" fontId="11" fillId="0" borderId="32" xfId="0" applyFont="1" applyBorder="1" applyAlignment="1">
      <alignment horizontal="center"/>
    </xf>
    <xf numFmtId="0" fontId="11" fillId="0" borderId="21" xfId="0" applyFont="1" applyBorder="1" applyAlignment="1">
      <alignment horizontal="center" wrapText="1"/>
    </xf>
    <xf numFmtId="0" fontId="11" fillId="0" borderId="21" xfId="0" applyFont="1" applyBorder="1" applyAlignment="1">
      <alignment/>
    </xf>
    <xf numFmtId="0" fontId="11" fillId="0" borderId="32" xfId="0" applyFont="1" applyFill="1" applyBorder="1" applyAlignment="1" applyProtection="1">
      <alignment horizontal="center" wrapText="1"/>
      <protection/>
    </xf>
    <xf numFmtId="0" fontId="11" fillId="0" borderId="32" xfId="0" applyFont="1" applyBorder="1" applyAlignment="1">
      <alignment/>
    </xf>
    <xf numFmtId="0" fontId="11" fillId="0" borderId="21" xfId="0" applyFont="1" applyBorder="1" applyAlignment="1">
      <alignment/>
    </xf>
    <xf numFmtId="0" fontId="11" fillId="0" borderId="32" xfId="0" applyFont="1" applyFill="1" applyBorder="1" applyAlignment="1" applyProtection="1">
      <alignment/>
      <protection/>
    </xf>
    <xf numFmtId="0" fontId="11" fillId="0" borderId="1" xfId="0" applyFont="1" applyBorder="1" applyAlignment="1">
      <alignment horizontal="center"/>
    </xf>
    <xf numFmtId="0" fontId="11" fillId="0" borderId="1" xfId="0" applyFont="1" applyBorder="1" applyAlignment="1">
      <alignment/>
    </xf>
    <xf numFmtId="0" fontId="11" fillId="0" borderId="24" xfId="0" applyFont="1" applyBorder="1" applyAlignment="1">
      <alignment horizontal="center"/>
    </xf>
    <xf numFmtId="0" fontId="11" fillId="0" borderId="24" xfId="0" applyFont="1" applyBorder="1" applyAlignment="1">
      <alignment/>
    </xf>
    <xf numFmtId="0" fontId="8" fillId="0" borderId="0" xfId="0" applyFont="1" applyBorder="1" applyAlignment="1">
      <alignment/>
    </xf>
    <xf numFmtId="0" fontId="8" fillId="0" borderId="0" xfId="0" applyFont="1" applyBorder="1" applyAlignment="1">
      <alignment horizontal="left" indent="2"/>
    </xf>
    <xf numFmtId="0" fontId="11" fillId="0" borderId="1" xfId="0" applyFont="1" applyBorder="1" applyAlignment="1">
      <alignment/>
    </xf>
    <xf numFmtId="0" fontId="0" fillId="0" borderId="15" xfId="0" applyFont="1" applyBorder="1" applyAlignment="1">
      <alignment/>
    </xf>
    <xf numFmtId="0" fontId="0" fillId="0" borderId="6" xfId="0" applyFont="1" applyBorder="1" applyAlignment="1">
      <alignment/>
    </xf>
    <xf numFmtId="0" fontId="5" fillId="0" borderId="6"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0" xfId="0" applyFont="1" applyAlignment="1">
      <alignment/>
    </xf>
    <xf numFmtId="0" fontId="0" fillId="0" borderId="8"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9" xfId="0" applyFont="1" applyBorder="1" applyAlignment="1">
      <alignment/>
    </xf>
    <xf numFmtId="0" fontId="5" fillId="0" borderId="33" xfId="0" applyFont="1" applyBorder="1" applyAlignment="1">
      <alignment/>
    </xf>
    <xf numFmtId="0" fontId="5" fillId="0" borderId="34" xfId="0" applyFont="1" applyBorder="1" applyAlignment="1">
      <alignment/>
    </xf>
    <xf numFmtId="0" fontId="5" fillId="0" borderId="34" xfId="0" applyFont="1" applyBorder="1" applyAlignment="1">
      <alignment horizontal="center"/>
    </xf>
    <xf numFmtId="0" fontId="5" fillId="0" borderId="0" xfId="0" applyFont="1" applyBorder="1" applyAlignment="1">
      <alignment/>
    </xf>
    <xf numFmtId="0" fontId="0" fillId="0" borderId="17" xfId="0" applyFont="1" applyBorder="1" applyAlignment="1">
      <alignment horizontal="left" indent="1"/>
    </xf>
    <xf numFmtId="0" fontId="0" fillId="0" borderId="0" xfId="0" applyFont="1" applyBorder="1" applyAlignment="1">
      <alignment horizontal="left" indent="1"/>
    </xf>
    <xf numFmtId="0" fontId="0" fillId="0" borderId="0" xfId="0" applyFont="1" applyBorder="1" applyAlignment="1" quotePrefix="1">
      <alignment horizontal="center"/>
    </xf>
    <xf numFmtId="0" fontId="0" fillId="0" borderId="23" xfId="0" applyFont="1" applyBorder="1" applyAlignment="1">
      <alignment horizontal="left" indent="1"/>
    </xf>
    <xf numFmtId="0" fontId="0" fillId="0" borderId="1" xfId="0" applyFont="1" applyBorder="1" applyAlignment="1">
      <alignment horizontal="left" indent="1"/>
    </xf>
    <xf numFmtId="0" fontId="0" fillId="0" borderId="1" xfId="0" applyFont="1" applyBorder="1" applyAlignment="1">
      <alignment horizontal="center"/>
    </xf>
    <xf numFmtId="0" fontId="0" fillId="0" borderId="1" xfId="0" applyFont="1" applyBorder="1" applyAlignment="1" quotePrefix="1">
      <alignment horizontal="center"/>
    </xf>
    <xf numFmtId="0" fontId="0" fillId="0" borderId="11" xfId="0" applyFont="1" applyBorder="1" applyAlignment="1">
      <alignment/>
    </xf>
    <xf numFmtId="0" fontId="0" fillId="0" borderId="4" xfId="0" applyFont="1" applyBorder="1" applyAlignment="1">
      <alignment/>
    </xf>
    <xf numFmtId="0" fontId="5" fillId="0" borderId="4" xfId="0" applyFont="1" applyBorder="1" applyAlignment="1">
      <alignment/>
    </xf>
    <xf numFmtId="0" fontId="0" fillId="0" borderId="4" xfId="0" applyFont="1" applyBorder="1" applyAlignment="1">
      <alignment horizontal="center"/>
    </xf>
    <xf numFmtId="0" fontId="0" fillId="0" borderId="12" xfId="0" applyFont="1" applyBorder="1" applyAlignment="1">
      <alignment/>
    </xf>
    <xf numFmtId="0" fontId="0" fillId="0" borderId="0" xfId="0" applyFont="1" applyAlignment="1">
      <alignment horizontal="center"/>
    </xf>
    <xf numFmtId="43" fontId="0" fillId="0" borderId="6" xfId="15" applyFont="1" applyBorder="1" applyAlignment="1">
      <alignment horizontal="right"/>
    </xf>
    <xf numFmtId="43" fontId="0" fillId="0" borderId="0" xfId="15" applyFont="1" applyBorder="1" applyAlignment="1">
      <alignment horizontal="right"/>
    </xf>
    <xf numFmtId="43" fontId="5" fillId="0" borderId="35" xfId="15" applyFont="1" applyBorder="1" applyAlignment="1">
      <alignment horizontal="right"/>
    </xf>
    <xf numFmtId="43" fontId="0" fillId="0" borderId="4" xfId="15" applyFont="1" applyBorder="1" applyAlignment="1">
      <alignment horizontal="right"/>
    </xf>
    <xf numFmtId="43" fontId="0" fillId="0" borderId="0" xfId="15" applyFont="1" applyAlignment="1">
      <alignment horizontal="right"/>
    </xf>
    <xf numFmtId="43" fontId="5" fillId="0" borderId="6" xfId="15" applyFont="1" applyBorder="1" applyAlignment="1">
      <alignment/>
    </xf>
    <xf numFmtId="43" fontId="0" fillId="0" borderId="6" xfId="15" applyFont="1" applyBorder="1" applyAlignment="1">
      <alignment horizontal="center"/>
    </xf>
    <xf numFmtId="43" fontId="0" fillId="0" borderId="0" xfId="15" applyFont="1" applyBorder="1" applyAlignment="1">
      <alignment horizontal="center"/>
    </xf>
    <xf numFmtId="43" fontId="5" fillId="0" borderId="34" xfId="15" applyFont="1" applyBorder="1" applyAlignment="1">
      <alignment horizontal="center"/>
    </xf>
    <xf numFmtId="43" fontId="0" fillId="0" borderId="4" xfId="15" applyFont="1" applyBorder="1" applyAlignment="1">
      <alignment horizontal="center"/>
    </xf>
    <xf numFmtId="43" fontId="0" fillId="0" borderId="0" xfId="15" applyFont="1" applyAlignment="1">
      <alignment horizontal="center"/>
    </xf>
    <xf numFmtId="181" fontId="0" fillId="0" borderId="21" xfId="15" applyNumberFormat="1" applyFont="1" applyBorder="1" applyAlignment="1">
      <alignment horizontal="right"/>
    </xf>
    <xf numFmtId="182" fontId="0" fillId="0" borderId="0" xfId="15" applyNumberFormat="1" applyFont="1" applyBorder="1" applyAlignment="1">
      <alignment horizontal="center"/>
    </xf>
    <xf numFmtId="182" fontId="0" fillId="0" borderId="1" xfId="15" applyNumberFormat="1" applyFont="1" applyBorder="1" applyAlignment="1">
      <alignment horizontal="center"/>
    </xf>
    <xf numFmtId="43" fontId="0" fillId="0" borderId="1" xfId="15" applyNumberFormat="1" applyFont="1" applyBorder="1" applyAlignment="1">
      <alignment horizontal="center"/>
    </xf>
    <xf numFmtId="166" fontId="0" fillId="3" borderId="22" xfId="21" applyNumberFormat="1" applyFill="1" applyBorder="1" applyAlignment="1" applyProtection="1">
      <alignment/>
      <protection locked="0"/>
    </xf>
    <xf numFmtId="166" fontId="0" fillId="3" borderId="22" xfId="21" applyNumberFormat="1" applyFont="1" applyFill="1" applyBorder="1" applyAlignment="1" applyProtection="1">
      <alignment/>
      <protection locked="0"/>
    </xf>
    <xf numFmtId="166" fontId="0" fillId="3" borderId="36" xfId="21" applyNumberFormat="1" applyFill="1" applyBorder="1" applyAlignment="1" applyProtection="1">
      <alignment/>
      <protection locked="0"/>
    </xf>
    <xf numFmtId="166" fontId="0" fillId="3" borderId="37" xfId="21" applyNumberFormat="1" applyFill="1" applyBorder="1" applyAlignment="1" applyProtection="1">
      <alignment/>
      <protection locked="0"/>
    </xf>
    <xf numFmtId="166" fontId="0" fillId="3" borderId="38" xfId="21" applyNumberFormat="1" applyFill="1" applyBorder="1" applyAlignment="1" applyProtection="1">
      <alignment/>
      <protection locked="0"/>
    </xf>
    <xf numFmtId="181" fontId="0" fillId="0" borderId="24" xfId="15" applyNumberFormat="1" applyFont="1" applyBorder="1" applyAlignment="1">
      <alignment horizontal="right"/>
    </xf>
    <xf numFmtId="181" fontId="11" fillId="3" borderId="10" xfId="15" applyNumberFormat="1" applyFont="1" applyFill="1" applyBorder="1" applyAlignment="1" applyProtection="1">
      <alignment horizontal="right"/>
      <protection locked="0"/>
    </xf>
    <xf numFmtId="181" fontId="11" fillId="0" borderId="10" xfId="0" applyNumberFormat="1" applyFont="1" applyFill="1" applyBorder="1" applyAlignment="1" applyProtection="1">
      <alignment/>
      <protection locked="0"/>
    </xf>
    <xf numFmtId="165" fontId="11" fillId="3" borderId="10" xfId="15" applyNumberFormat="1" applyFont="1" applyFill="1" applyBorder="1" applyAlignment="1" applyProtection="1">
      <alignment horizontal="right"/>
      <protection locked="0"/>
    </xf>
    <xf numFmtId="165" fontId="11" fillId="3" borderId="10" xfId="0" applyNumberFormat="1" applyFont="1" applyFill="1" applyBorder="1" applyAlignment="1" applyProtection="1">
      <alignment/>
      <protection locked="0"/>
    </xf>
    <xf numFmtId="165" fontId="11" fillId="0" borderId="0" xfId="0" applyNumberFormat="1" applyFont="1" applyBorder="1" applyAlignment="1">
      <alignment horizontal="center" wrapText="1"/>
    </xf>
    <xf numFmtId="165" fontId="11" fillId="0" borderId="21" xfId="0" applyNumberFormat="1" applyFont="1" applyBorder="1" applyAlignment="1">
      <alignment horizontal="center" wrapText="1"/>
    </xf>
    <xf numFmtId="165" fontId="11" fillId="0" borderId="14" xfId="0" applyNumberFormat="1" applyFont="1" applyBorder="1" applyAlignment="1">
      <alignment horizontal="center" wrapText="1"/>
    </xf>
    <xf numFmtId="165" fontId="11" fillId="0" borderId="27" xfId="0" applyNumberFormat="1" applyFont="1" applyBorder="1" applyAlignment="1">
      <alignment/>
    </xf>
    <xf numFmtId="165" fontId="11" fillId="0" borderId="21" xfId="0" applyNumberFormat="1" applyFont="1" applyBorder="1" applyAlignment="1">
      <alignment/>
    </xf>
    <xf numFmtId="165" fontId="11" fillId="0" borderId="0" xfId="0" applyNumberFormat="1" applyFont="1" applyBorder="1" applyAlignment="1">
      <alignment/>
    </xf>
    <xf numFmtId="165" fontId="0" fillId="0" borderId="0" xfId="15" applyNumberFormat="1" applyFont="1" applyBorder="1" applyAlignment="1">
      <alignment horizontal="right"/>
    </xf>
    <xf numFmtId="182" fontId="0" fillId="0" borderId="0" xfId="0" applyNumberFormat="1" applyFont="1" applyBorder="1" applyAlignment="1">
      <alignment horizontal="center"/>
    </xf>
    <xf numFmtId="1" fontId="0" fillId="0" borderId="23" xfId="15" applyNumberFormat="1" applyFont="1" applyBorder="1" applyAlignment="1">
      <alignment horizontal="right"/>
    </xf>
    <xf numFmtId="2" fontId="0" fillId="0" borderId="23" xfId="15" applyNumberFormat="1" applyFont="1" applyBorder="1" applyAlignment="1">
      <alignment horizontal="right"/>
    </xf>
    <xf numFmtId="9" fontId="11" fillId="3" borderId="10" xfId="21" applyNumberFormat="1" applyFont="1" applyFill="1" applyBorder="1" applyAlignment="1" applyProtection="1">
      <alignment horizontal="right"/>
      <protection locked="0"/>
    </xf>
    <xf numFmtId="182" fontId="0" fillId="0" borderId="3" xfId="15" applyNumberFormat="1" applyFont="1" applyBorder="1" applyAlignment="1">
      <alignment horizontal="center"/>
    </xf>
    <xf numFmtId="0" fontId="8" fillId="3" borderId="18" xfId="0" applyFont="1" applyFill="1" applyBorder="1" applyAlignment="1" applyProtection="1">
      <alignment horizontal="left"/>
      <protection locked="0"/>
    </xf>
    <xf numFmtId="0" fontId="8" fillId="3" borderId="10" xfId="0" applyFont="1" applyFill="1" applyBorder="1" applyAlignment="1" applyProtection="1">
      <alignment horizontal="left"/>
      <protection locked="0"/>
    </xf>
    <xf numFmtId="0" fontId="8" fillId="3" borderId="19" xfId="0"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Alignment="1">
      <alignment horizontal="left" indent="1"/>
    </xf>
    <xf numFmtId="182" fontId="11" fillId="0" borderId="10" xfId="15" applyNumberFormat="1" applyFont="1" applyBorder="1" applyAlignment="1" applyProtection="1">
      <alignment horizontal="right"/>
      <protection locked="0"/>
    </xf>
    <xf numFmtId="0" fontId="11" fillId="0" borderId="10" xfId="0" applyFont="1" applyFill="1" applyBorder="1" applyAlignment="1" applyProtection="1">
      <alignment/>
      <protection/>
    </xf>
    <xf numFmtId="43" fontId="5" fillId="0" borderId="33" xfId="15" applyFont="1" applyBorder="1" applyAlignment="1">
      <alignment horizontal="right"/>
    </xf>
    <xf numFmtId="165" fontId="0" fillId="0" borderId="17" xfId="15" applyNumberFormat="1" applyFont="1" applyBorder="1" applyAlignment="1">
      <alignment horizontal="right"/>
    </xf>
    <xf numFmtId="165" fontId="5" fillId="0" borderId="33" xfId="15" applyNumberFormat="1" applyFont="1" applyBorder="1" applyAlignment="1">
      <alignment horizontal="right"/>
    </xf>
    <xf numFmtId="1" fontId="0" fillId="0" borderId="17" xfId="15" applyNumberFormat="1" applyFont="1" applyBorder="1" applyAlignment="1">
      <alignment horizontal="right"/>
    </xf>
    <xf numFmtId="196" fontId="11" fillId="3" borderId="10" xfId="0" applyNumberFormat="1" applyFont="1" applyFill="1" applyBorder="1" applyAlignment="1" applyProtection="1">
      <alignment/>
      <protection locked="0"/>
    </xf>
    <xf numFmtId="9" fontId="11" fillId="0" borderId="10" xfId="21" applyFont="1" applyBorder="1" applyAlignment="1" applyProtection="1">
      <alignment/>
      <protection/>
    </xf>
    <xf numFmtId="166" fontId="0" fillId="3" borderId="38" xfId="21" applyNumberFormat="1" applyFont="1" applyFill="1" applyBorder="1" applyAlignment="1" applyProtection="1">
      <alignment/>
      <protection locked="0"/>
    </xf>
    <xf numFmtId="9" fontId="0" fillId="0" borderId="17" xfId="21" applyFont="1" applyBorder="1" applyAlignment="1">
      <alignment horizontal="right"/>
    </xf>
    <xf numFmtId="9" fontId="0" fillId="0" borderId="0" xfId="21" applyFont="1" applyBorder="1" applyAlignment="1">
      <alignment horizontal="center"/>
    </xf>
    <xf numFmtId="9" fontId="0" fillId="0" borderId="21" xfId="21" applyFont="1" applyBorder="1" applyAlignment="1">
      <alignment horizontal="right"/>
    </xf>
    <xf numFmtId="182" fontId="11" fillId="0" borderId="0" xfId="15" applyNumberFormat="1" applyFont="1" applyBorder="1" applyAlignment="1">
      <alignment/>
    </xf>
    <xf numFmtId="9" fontId="11" fillId="0" borderId="5" xfId="0" applyNumberFormat="1" applyFont="1" applyBorder="1" applyAlignment="1" applyProtection="1">
      <alignment horizontal="left"/>
      <protection locked="0"/>
    </xf>
    <xf numFmtId="0" fontId="11" fillId="0" borderId="0" xfId="0" applyFont="1" applyFill="1" applyBorder="1" applyAlignment="1">
      <alignment horizontal="left" wrapText="1"/>
    </xf>
    <xf numFmtId="0" fontId="14" fillId="0" borderId="39" xfId="0" applyFont="1" applyBorder="1" applyAlignment="1">
      <alignment horizontal="center"/>
    </xf>
    <xf numFmtId="0" fontId="14" fillId="0" borderId="1" xfId="0" applyFont="1" applyBorder="1" applyAlignment="1">
      <alignment horizontal="center"/>
    </xf>
    <xf numFmtId="0" fontId="16" fillId="0" borderId="40" xfId="0" applyFont="1" applyBorder="1" applyAlignment="1">
      <alignment horizontal="center"/>
    </xf>
    <xf numFmtId="0" fontId="11" fillId="0" borderId="13"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1" xfId="0" applyFont="1" applyBorder="1" applyAlignment="1">
      <alignment horizontal="center"/>
    </xf>
    <xf numFmtId="0" fontId="8" fillId="3" borderId="41" xfId="0" applyFont="1" applyFill="1" applyBorder="1" applyAlignment="1" applyProtection="1">
      <alignment horizontal="left"/>
      <protection locked="0"/>
    </xf>
    <xf numFmtId="0" fontId="8" fillId="0" borderId="8" xfId="0" applyFont="1" applyBorder="1" applyAlignment="1">
      <alignment horizontal="left"/>
    </xf>
    <xf numFmtId="0" fontId="8" fillId="0" borderId="0" xfId="0" applyFont="1" applyBorder="1" applyAlignment="1">
      <alignment horizontal="left"/>
    </xf>
    <xf numFmtId="0" fontId="8" fillId="0" borderId="9" xfId="0" applyFont="1" applyBorder="1" applyAlignment="1">
      <alignment horizontal="left"/>
    </xf>
    <xf numFmtId="182" fontId="0" fillId="0" borderId="0" xfId="0" applyNumberFormat="1" applyAlignment="1">
      <alignment/>
    </xf>
    <xf numFmtId="0" fontId="11" fillId="3" borderId="18" xfId="0" applyFont="1" applyFill="1" applyBorder="1" applyAlignment="1" applyProtection="1">
      <alignment horizontal="left"/>
      <protection locked="0"/>
    </xf>
    <xf numFmtId="0" fontId="11" fillId="3" borderId="10" xfId="0" applyFont="1" applyFill="1" applyBorder="1" applyAlignment="1" applyProtection="1">
      <alignment horizontal="left"/>
      <protection locked="0"/>
    </xf>
    <xf numFmtId="0" fontId="11" fillId="3" borderId="19" xfId="0" applyFont="1" applyFill="1" applyBorder="1" applyAlignment="1" applyProtection="1">
      <alignment horizontal="left"/>
      <protection locked="0"/>
    </xf>
    <xf numFmtId="0" fontId="11" fillId="3" borderId="42" xfId="0" applyFont="1" applyFill="1" applyBorder="1" applyAlignment="1" applyProtection="1">
      <alignment horizontal="left"/>
      <protection locked="0"/>
    </xf>
    <xf numFmtId="0" fontId="11" fillId="3" borderId="43" xfId="0" applyFont="1" applyFill="1" applyBorder="1" applyAlignment="1" applyProtection="1">
      <alignment horizontal="left"/>
      <protection locked="0"/>
    </xf>
    <xf numFmtId="0" fontId="11" fillId="3" borderId="44" xfId="0" applyFont="1" applyFill="1" applyBorder="1" applyAlignment="1" applyProtection="1">
      <alignment horizontal="left"/>
      <protection locked="0"/>
    </xf>
    <xf numFmtId="0" fontId="8" fillId="0" borderId="1" xfId="0" applyFont="1" applyBorder="1" applyAlignment="1">
      <alignment horizontal="left" wrapText="1"/>
    </xf>
    <xf numFmtId="0" fontId="8" fillId="3" borderId="18" xfId="0" applyFont="1" applyFill="1" applyBorder="1" applyAlignment="1" applyProtection="1">
      <alignment horizontal="left"/>
      <protection locked="0"/>
    </xf>
    <xf numFmtId="0" fontId="8" fillId="3" borderId="10" xfId="0" applyFont="1" applyFill="1" applyBorder="1" applyAlignment="1" applyProtection="1">
      <alignment horizontal="left"/>
      <protection locked="0"/>
    </xf>
    <xf numFmtId="0" fontId="8" fillId="3" borderId="19" xfId="0" applyFont="1" applyFill="1" applyBorder="1" applyAlignment="1" applyProtection="1">
      <alignment horizontal="left"/>
      <protection locked="0"/>
    </xf>
    <xf numFmtId="0" fontId="11" fillId="3" borderId="23" xfId="0" applyFont="1" applyFill="1" applyBorder="1" applyAlignment="1" applyProtection="1">
      <alignment horizontal="left"/>
      <protection locked="0"/>
    </xf>
    <xf numFmtId="0" fontId="11" fillId="3" borderId="1" xfId="0" applyFont="1" applyFill="1" applyBorder="1" applyAlignment="1" applyProtection="1">
      <alignment horizontal="left"/>
      <protection locked="0"/>
    </xf>
    <xf numFmtId="0" fontId="11" fillId="3" borderId="24" xfId="0" applyFont="1" applyFill="1" applyBorder="1" applyAlignment="1" applyProtection="1">
      <alignment horizontal="left"/>
      <protection locked="0"/>
    </xf>
    <xf numFmtId="0" fontId="11" fillId="0" borderId="0" xfId="0" applyFont="1" applyBorder="1" applyAlignment="1">
      <alignment horizontal="left" wrapText="1"/>
    </xf>
    <xf numFmtId="0" fontId="8" fillId="3" borderId="23" xfId="0" applyFont="1" applyFill="1" applyBorder="1" applyAlignment="1" applyProtection="1">
      <alignment horizontal="left"/>
      <protection locked="0"/>
    </xf>
    <xf numFmtId="0" fontId="8" fillId="3" borderId="1" xfId="0" applyFont="1" applyFill="1" applyBorder="1" applyAlignment="1" applyProtection="1">
      <alignment horizontal="left"/>
      <protection locked="0"/>
    </xf>
    <xf numFmtId="0" fontId="8" fillId="3" borderId="24" xfId="0" applyFont="1" applyFill="1" applyBorder="1" applyAlignment="1" applyProtection="1">
      <alignment horizontal="left"/>
      <protection locked="0"/>
    </xf>
    <xf numFmtId="0" fontId="8" fillId="3" borderId="45" xfId="0" applyFont="1" applyFill="1" applyBorder="1" applyAlignment="1" applyProtection="1">
      <alignment horizontal="left"/>
      <protection locked="0"/>
    </xf>
    <xf numFmtId="0" fontId="11" fillId="0" borderId="40" xfId="0" applyFont="1" applyBorder="1" applyAlignment="1">
      <alignment horizontal="center"/>
    </xf>
    <xf numFmtId="195" fontId="11" fillId="3" borderId="10" xfId="0" applyNumberFormat="1" applyFont="1" applyFill="1" applyBorder="1" applyAlignment="1" applyProtection="1">
      <alignment horizontal="left"/>
      <protection locked="0"/>
    </xf>
    <xf numFmtId="0" fontId="8" fillId="0" borderId="46" xfId="0" applyFont="1" applyBorder="1" applyAlignment="1">
      <alignment horizontal="left" vertical="top"/>
    </xf>
    <xf numFmtId="0" fontId="14" fillId="0" borderId="28" xfId="0" applyFont="1" applyBorder="1" applyAlignment="1">
      <alignment horizontal="center"/>
    </xf>
    <xf numFmtId="0" fontId="14" fillId="0" borderId="47" xfId="0" applyFont="1" applyBorder="1" applyAlignment="1">
      <alignment horizontal="center"/>
    </xf>
    <xf numFmtId="0" fontId="14" fillId="0" borderId="26"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0" fontId="11" fillId="0" borderId="48" xfId="0" applyFont="1" applyBorder="1" applyAlignment="1">
      <alignment horizontal="center"/>
    </xf>
    <xf numFmtId="0" fontId="11" fillId="0" borderId="49" xfId="0" applyFont="1" applyBorder="1" applyAlignment="1">
      <alignment horizontal="center"/>
    </xf>
    <xf numFmtId="0" fontId="14" fillId="0" borderId="0" xfId="0" applyFont="1" applyBorder="1" applyAlignment="1">
      <alignment horizontal="center"/>
    </xf>
    <xf numFmtId="0" fontId="14" fillId="0" borderId="14" xfId="0" applyFont="1" applyBorder="1" applyAlignment="1">
      <alignment horizontal="center"/>
    </xf>
    <xf numFmtId="0" fontId="0" fillId="0" borderId="0" xfId="0" applyAlignment="1">
      <alignment horizontal="left" wrapText="1"/>
    </xf>
    <xf numFmtId="0" fontId="0" fillId="0" borderId="0" xfId="0" applyAlignment="1">
      <alignment wrapText="1"/>
    </xf>
    <xf numFmtId="0" fontId="11" fillId="3" borderId="50" xfId="0" applyFont="1" applyFill="1" applyBorder="1" applyAlignment="1" applyProtection="1">
      <alignment horizontal="left"/>
      <protection locked="0"/>
    </xf>
    <xf numFmtId="0" fontId="11" fillId="3" borderId="51" xfId="0" applyFont="1" applyFill="1" applyBorder="1" applyAlignment="1" applyProtection="1">
      <alignment horizontal="left"/>
      <protection locked="0"/>
    </xf>
    <xf numFmtId="0" fontId="11" fillId="3" borderId="52" xfId="0" applyFont="1" applyFill="1" applyBorder="1" applyAlignment="1" applyProtection="1">
      <alignment horizontal="left"/>
      <protection locked="0"/>
    </xf>
    <xf numFmtId="195" fontId="11" fillId="3" borderId="43" xfId="0" applyNumberFormat="1" applyFont="1" applyFill="1" applyBorder="1" applyAlignment="1" applyProtection="1">
      <alignment horizontal="left"/>
      <protection locked="0"/>
    </xf>
    <xf numFmtId="0" fontId="8" fillId="3" borderId="42" xfId="0" applyFont="1" applyFill="1" applyBorder="1" applyAlignment="1" applyProtection="1">
      <alignment horizontal="left"/>
      <protection locked="0"/>
    </xf>
    <xf numFmtId="0" fontId="8" fillId="3" borderId="43" xfId="0" applyFont="1" applyFill="1" applyBorder="1" applyAlignment="1" applyProtection="1">
      <alignment horizontal="left"/>
      <protection locked="0"/>
    </xf>
    <xf numFmtId="0" fontId="8" fillId="3" borderId="44" xfId="0" applyFont="1" applyFill="1" applyBorder="1" applyAlignment="1" applyProtection="1">
      <alignment horizontal="left"/>
      <protection locked="0"/>
    </xf>
    <xf numFmtId="0" fontId="11" fillId="0" borderId="25" xfId="0" applyFont="1" applyBorder="1" applyAlignment="1">
      <alignment horizontal="center"/>
    </xf>
    <xf numFmtId="0" fontId="11" fillId="3" borderId="53" xfId="0" applyFont="1" applyFill="1" applyBorder="1" applyAlignment="1" applyProtection="1">
      <alignment horizontal="left"/>
      <protection locked="0"/>
    </xf>
    <xf numFmtId="0" fontId="14" fillId="0" borderId="48" xfId="0" applyFont="1" applyBorder="1" applyAlignment="1">
      <alignment horizontal="center"/>
    </xf>
    <xf numFmtId="0" fontId="14" fillId="0" borderId="49" xfId="0" applyFont="1" applyBorder="1" applyAlignment="1">
      <alignment horizontal="center"/>
    </xf>
    <xf numFmtId="0" fontId="14" fillId="0" borderId="25" xfId="0" applyFont="1" applyBorder="1" applyAlignment="1">
      <alignment horizontal="center"/>
    </xf>
    <xf numFmtId="0" fontId="14" fillId="0" borderId="40" xfId="0" applyFont="1" applyBorder="1" applyAlignment="1">
      <alignment horizontal="center"/>
    </xf>
    <xf numFmtId="0" fontId="8" fillId="0" borderId="54" xfId="0" applyFont="1" applyBorder="1" applyAlignment="1">
      <alignment horizontal="left" wrapText="1"/>
    </xf>
    <xf numFmtId="0" fontId="11" fillId="0" borderId="3" xfId="0" applyFont="1" applyBorder="1" applyAlignment="1">
      <alignment horizontal="left" wrapText="1"/>
    </xf>
    <xf numFmtId="0" fontId="8" fillId="3" borderId="50" xfId="0" applyFont="1" applyFill="1" applyBorder="1" applyAlignment="1" applyProtection="1">
      <alignment horizontal="left"/>
      <protection locked="0"/>
    </xf>
    <xf numFmtId="0" fontId="8" fillId="3" borderId="51" xfId="0" applyFont="1" applyFill="1" applyBorder="1" applyAlignment="1" applyProtection="1">
      <alignment horizontal="left"/>
      <protection locked="0"/>
    </xf>
    <xf numFmtId="0" fontId="8" fillId="3" borderId="52" xfId="0" applyFont="1" applyFill="1" applyBorder="1" applyAlignment="1" applyProtection="1">
      <alignment horizontal="left"/>
      <protection locked="0"/>
    </xf>
    <xf numFmtId="0" fontId="0" fillId="0" borderId="43" xfId="0" applyFont="1" applyBorder="1" applyAlignment="1">
      <alignment horizontal="left"/>
    </xf>
    <xf numFmtId="0" fontId="0" fillId="0" borderId="10" xfId="0" applyFont="1" applyBorder="1" applyAlignment="1">
      <alignment horizontal="left"/>
    </xf>
    <xf numFmtId="0" fontId="5" fillId="0" borderId="0" xfId="0" applyFont="1" applyBorder="1" applyAlignment="1">
      <alignment horizontal="left" wrapText="1"/>
    </xf>
    <xf numFmtId="0" fontId="0" fillId="0" borderId="0" xfId="0" applyBorder="1" applyAlignment="1">
      <alignment horizontal="center"/>
    </xf>
    <xf numFmtId="0" fontId="5" fillId="0" borderId="4" xfId="0" applyFont="1" applyBorder="1" applyAlignment="1" applyProtection="1">
      <alignment horizontal="left"/>
      <protection/>
    </xf>
    <xf numFmtId="0" fontId="5" fillId="0" borderId="12" xfId="0" applyFont="1" applyBorder="1" applyAlignment="1" applyProtection="1">
      <alignment horizontal="left"/>
      <protection/>
    </xf>
    <xf numFmtId="0" fontId="9" fillId="0" borderId="0" xfId="0" applyFont="1" applyAlignment="1">
      <alignment horizontal="right" vertical="top" wrapText="1"/>
    </xf>
    <xf numFmtId="0" fontId="5" fillId="0" borderId="0" xfId="0" applyFont="1" applyAlignment="1">
      <alignment horizontal="center"/>
    </xf>
    <xf numFmtId="182" fontId="5" fillId="0" borderId="0" xfId="15" applyNumberFormat="1"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xdr:colOff>
      <xdr:row>12</xdr:row>
      <xdr:rowOff>104775</xdr:rowOff>
    </xdr:from>
    <xdr:to>
      <xdr:col>40</xdr:col>
      <xdr:colOff>523875</xdr:colOff>
      <xdr:row>14</xdr:row>
      <xdr:rowOff>142875</xdr:rowOff>
    </xdr:to>
    <xdr:sp>
      <xdr:nvSpPr>
        <xdr:cNvPr id="1" name="AutoShape 150"/>
        <xdr:cNvSpPr>
          <a:spLocks/>
        </xdr:cNvSpPr>
      </xdr:nvSpPr>
      <xdr:spPr>
        <a:xfrm>
          <a:off x="14277975" y="2209800"/>
          <a:ext cx="1466850" cy="438150"/>
        </a:xfrm>
        <a:prstGeom prst="wedgeRectCallout">
          <a:avLst>
            <a:gd name="adj1" fmla="val -22078"/>
            <a:gd name="adj2" fmla="val -71740"/>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P1</a:t>
          </a:r>
          <a:r>
            <a:rPr lang="en-US" cap="none" sz="800" b="0" i="0" u="none" baseline="-25000">
              <a:latin typeface="Arial"/>
              <a:ea typeface="Arial"/>
              <a:cs typeface="Arial"/>
            </a:rPr>
            <a:t>si</a:t>
          </a:r>
          <a:r>
            <a:rPr lang="en-US" cap="none" sz="800" b="0" i="0" u="none" baseline="0">
              <a:latin typeface="Arial"/>
              <a:ea typeface="Arial"/>
              <a:cs typeface="Arial"/>
            </a:rPr>
            <a:t> should be the mass remaining in pot one at the end of the hot start test (P1</a:t>
          </a:r>
          <a:r>
            <a:rPr lang="en-US" cap="none" sz="800" b="0" i="0" u="none" baseline="-25000">
              <a:latin typeface="Arial"/>
              <a:ea typeface="Arial"/>
              <a:cs typeface="Arial"/>
            </a:rPr>
            <a:t>hf</a:t>
          </a:r>
          <a:r>
            <a:rPr lang="en-US" cap="none" sz="800" b="0" i="0" u="none" baseline="0">
              <a:latin typeface="Arial"/>
              <a:ea typeface="Arial"/>
              <a:cs typeface="Arial"/>
            </a:rPr>
            <a:t>).</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2" name="AutoShape 151"/>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11</xdr:col>
      <xdr:colOff>257175</xdr:colOff>
      <xdr:row>9</xdr:row>
      <xdr:rowOff>133350</xdr:rowOff>
    </xdr:from>
    <xdr:to>
      <xdr:col>18</xdr:col>
      <xdr:colOff>28575</xdr:colOff>
      <xdr:row>13</xdr:row>
      <xdr:rowOff>114300</xdr:rowOff>
    </xdr:to>
    <xdr:sp>
      <xdr:nvSpPr>
        <xdr:cNvPr id="3" name="AutoShape 157"/>
        <xdr:cNvSpPr>
          <a:spLocks/>
        </xdr:cNvSpPr>
      </xdr:nvSpPr>
      <xdr:spPr>
        <a:xfrm>
          <a:off x="5324475" y="1638300"/>
          <a:ext cx="2743200" cy="781050"/>
        </a:xfrm>
        <a:prstGeom prst="wedgeRectCallout">
          <a:avLst>
            <a:gd name="adj1" fmla="val -58333"/>
            <a:gd name="adj2" fmla="val -2439"/>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If possible, enter a locally derived calorific value. Enter the value in cell E19 if the calorific value is for dry fuel (0% MC). Use cell E22 if it is for moist fuel. If a local calorific value can not be obtained, choose the closest fuel from this menu.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57150</xdr:colOff>
      <xdr:row>8</xdr:row>
      <xdr:rowOff>95250</xdr:rowOff>
    </xdr:from>
    <xdr:to>
      <xdr:col>40</xdr:col>
      <xdr:colOff>514350</xdr:colOff>
      <xdr:row>10</xdr:row>
      <xdr:rowOff>133350</xdr:rowOff>
    </xdr:to>
    <xdr:sp>
      <xdr:nvSpPr>
        <xdr:cNvPr id="1" name="AutoShape 82"/>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2" name="AutoShape 92"/>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3" name="AutoShape 96"/>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4" name="AutoShape 105"/>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5" name="AutoShape 112"/>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6" name="AutoShape 119"/>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11</xdr:col>
      <xdr:colOff>257175</xdr:colOff>
      <xdr:row>9</xdr:row>
      <xdr:rowOff>133350</xdr:rowOff>
    </xdr:from>
    <xdr:to>
      <xdr:col>18</xdr:col>
      <xdr:colOff>28575</xdr:colOff>
      <xdr:row>13</xdr:row>
      <xdr:rowOff>114300</xdr:rowOff>
    </xdr:to>
    <xdr:sp>
      <xdr:nvSpPr>
        <xdr:cNvPr id="7" name="AutoShape 120"/>
        <xdr:cNvSpPr>
          <a:spLocks/>
        </xdr:cNvSpPr>
      </xdr:nvSpPr>
      <xdr:spPr>
        <a:xfrm>
          <a:off x="5324475" y="1638300"/>
          <a:ext cx="2743200" cy="781050"/>
        </a:xfrm>
        <a:prstGeom prst="wedgeRectCallout">
          <a:avLst>
            <a:gd name="adj1" fmla="val -58333"/>
            <a:gd name="adj2" fmla="val -2439"/>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If possible, enter a locally derived calorific value. Enter the value in cell E19 if the calorific value is for dry fuel (0% MC). Use cell E22 if it is for moist fuel. If a local calorific value can not be obtained, choose the closest fuel from this menu. </a:t>
          </a:r>
        </a:p>
      </xdr:txBody>
    </xdr:sp>
    <xdr:clientData/>
  </xdr:twoCellAnchor>
  <xdr:twoCellAnchor>
    <xdr:from>
      <xdr:col>36</xdr:col>
      <xdr:colOff>38100</xdr:colOff>
      <xdr:row>12</xdr:row>
      <xdr:rowOff>114300</xdr:rowOff>
    </xdr:from>
    <xdr:to>
      <xdr:col>40</xdr:col>
      <xdr:colOff>514350</xdr:colOff>
      <xdr:row>14</xdr:row>
      <xdr:rowOff>152400</xdr:rowOff>
    </xdr:to>
    <xdr:sp>
      <xdr:nvSpPr>
        <xdr:cNvPr id="8" name="AutoShape 124"/>
        <xdr:cNvSpPr>
          <a:spLocks/>
        </xdr:cNvSpPr>
      </xdr:nvSpPr>
      <xdr:spPr>
        <a:xfrm>
          <a:off x="14268450" y="2219325"/>
          <a:ext cx="1466850" cy="438150"/>
        </a:xfrm>
        <a:prstGeom prst="wedgeRectCallout">
          <a:avLst>
            <a:gd name="adj1" fmla="val -26625"/>
            <a:gd name="adj2" fmla="val -69564"/>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P1</a:t>
          </a:r>
          <a:r>
            <a:rPr lang="en-US" cap="none" sz="800" b="0" i="0" u="none" baseline="-25000">
              <a:latin typeface="Arial"/>
              <a:ea typeface="Arial"/>
              <a:cs typeface="Arial"/>
            </a:rPr>
            <a:t>si</a:t>
          </a:r>
          <a:r>
            <a:rPr lang="en-US" cap="none" sz="800" b="0" i="0" u="none" baseline="0">
              <a:latin typeface="Arial"/>
              <a:ea typeface="Arial"/>
              <a:cs typeface="Arial"/>
            </a:rPr>
            <a:t> should be the mass remaining in pot one at the end of the hot start test (P1</a:t>
          </a:r>
          <a:r>
            <a:rPr lang="en-US" cap="none" sz="800" b="0" i="0" u="none" baseline="-25000">
              <a:latin typeface="Arial"/>
              <a:ea typeface="Arial"/>
              <a:cs typeface="Arial"/>
            </a:rPr>
            <a:t>hf</a:t>
          </a:r>
          <a:r>
            <a:rPr lang="en-US" cap="none" sz="800" b="0" i="0" u="none" baseline="0">
              <a:latin typeface="Arial"/>
              <a:ea typeface="Arial"/>
              <a:cs typeface="Arial"/>
            </a:rPr>
            <a:t>).</a:t>
          </a:r>
        </a:p>
      </xdr:txBody>
    </xdr:sp>
    <xdr:clientData/>
  </xdr:twoCellAnchor>
  <xdr:twoCellAnchor>
    <xdr:from>
      <xdr:col>36</xdr:col>
      <xdr:colOff>47625</xdr:colOff>
      <xdr:row>12</xdr:row>
      <xdr:rowOff>104775</xdr:rowOff>
    </xdr:from>
    <xdr:to>
      <xdr:col>40</xdr:col>
      <xdr:colOff>523875</xdr:colOff>
      <xdr:row>14</xdr:row>
      <xdr:rowOff>142875</xdr:rowOff>
    </xdr:to>
    <xdr:sp>
      <xdr:nvSpPr>
        <xdr:cNvPr id="9" name="AutoShape 127"/>
        <xdr:cNvSpPr>
          <a:spLocks/>
        </xdr:cNvSpPr>
      </xdr:nvSpPr>
      <xdr:spPr>
        <a:xfrm>
          <a:off x="14277975" y="2209800"/>
          <a:ext cx="1466850" cy="438150"/>
        </a:xfrm>
        <a:prstGeom prst="wedgeRectCallout">
          <a:avLst>
            <a:gd name="adj1" fmla="val -22078"/>
            <a:gd name="adj2" fmla="val -71740"/>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P1</a:t>
          </a:r>
          <a:r>
            <a:rPr lang="en-US" cap="none" sz="800" b="0" i="0" u="none" baseline="-25000">
              <a:latin typeface="Arial"/>
              <a:ea typeface="Arial"/>
              <a:cs typeface="Arial"/>
            </a:rPr>
            <a:t>si</a:t>
          </a:r>
          <a:r>
            <a:rPr lang="en-US" cap="none" sz="800" b="0" i="0" u="none" baseline="0">
              <a:latin typeface="Arial"/>
              <a:ea typeface="Arial"/>
              <a:cs typeface="Arial"/>
            </a:rPr>
            <a:t> should be the mass remaining in pot one at the end of the hot start test (P1</a:t>
          </a:r>
          <a:r>
            <a:rPr lang="en-US" cap="none" sz="800" b="0" i="0" u="none" baseline="-25000">
              <a:latin typeface="Arial"/>
              <a:ea typeface="Arial"/>
              <a:cs typeface="Arial"/>
            </a:rPr>
            <a:t>hf</a:t>
          </a:r>
          <a:r>
            <a:rPr lang="en-US" cap="none" sz="800" b="0" i="0" u="none" baseline="0">
              <a:latin typeface="Arial"/>
              <a:ea typeface="Arial"/>
              <a:cs typeface="Arial"/>
            </a:rPr>
            <a:t>).</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10" name="AutoShape 128"/>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11</xdr:col>
      <xdr:colOff>257175</xdr:colOff>
      <xdr:row>9</xdr:row>
      <xdr:rowOff>133350</xdr:rowOff>
    </xdr:from>
    <xdr:to>
      <xdr:col>18</xdr:col>
      <xdr:colOff>28575</xdr:colOff>
      <xdr:row>13</xdr:row>
      <xdr:rowOff>114300</xdr:rowOff>
    </xdr:to>
    <xdr:sp>
      <xdr:nvSpPr>
        <xdr:cNvPr id="11" name="AutoShape 129"/>
        <xdr:cNvSpPr>
          <a:spLocks/>
        </xdr:cNvSpPr>
      </xdr:nvSpPr>
      <xdr:spPr>
        <a:xfrm>
          <a:off x="5324475" y="1638300"/>
          <a:ext cx="2743200" cy="781050"/>
        </a:xfrm>
        <a:prstGeom prst="wedgeRectCallout">
          <a:avLst>
            <a:gd name="adj1" fmla="val -58333"/>
            <a:gd name="adj2" fmla="val -2439"/>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If possible, enter a locally derived calorific value. Enter the value in cell E19 if the calorific value is for dry fuel (0% MC). Use cell E22 if it is for moist fuel. If a local calorific value can not be obtained, choose the closest fuel from this menu.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57150</xdr:colOff>
      <xdr:row>8</xdr:row>
      <xdr:rowOff>95250</xdr:rowOff>
    </xdr:from>
    <xdr:to>
      <xdr:col>40</xdr:col>
      <xdr:colOff>514350</xdr:colOff>
      <xdr:row>10</xdr:row>
      <xdr:rowOff>133350</xdr:rowOff>
    </xdr:to>
    <xdr:sp>
      <xdr:nvSpPr>
        <xdr:cNvPr id="1" name="AutoShape 74"/>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2" name="AutoShape 78"/>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3" name="AutoShape 82"/>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4" name="AutoShape 91"/>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5" name="AutoShape 98"/>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6" name="AutoShape 105"/>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11</xdr:col>
      <xdr:colOff>257175</xdr:colOff>
      <xdr:row>9</xdr:row>
      <xdr:rowOff>133350</xdr:rowOff>
    </xdr:from>
    <xdr:to>
      <xdr:col>18</xdr:col>
      <xdr:colOff>28575</xdr:colOff>
      <xdr:row>13</xdr:row>
      <xdr:rowOff>114300</xdr:rowOff>
    </xdr:to>
    <xdr:sp>
      <xdr:nvSpPr>
        <xdr:cNvPr id="7" name="AutoShape 106"/>
        <xdr:cNvSpPr>
          <a:spLocks/>
        </xdr:cNvSpPr>
      </xdr:nvSpPr>
      <xdr:spPr>
        <a:xfrm>
          <a:off x="5324475" y="1638300"/>
          <a:ext cx="2743200" cy="781050"/>
        </a:xfrm>
        <a:prstGeom prst="wedgeRectCallout">
          <a:avLst>
            <a:gd name="adj1" fmla="val -58333"/>
            <a:gd name="adj2" fmla="val -2439"/>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If possible, enter a locally derived calorific value. Enter the value in cell E19 if the calorific value is for dry fuel (0% MC). Use cell E22 if it is for moist fuel. If a local calorific value can not be obtained, choose the closest fuel from this menu. </a:t>
          </a:r>
        </a:p>
      </xdr:txBody>
    </xdr:sp>
    <xdr:clientData/>
  </xdr:twoCellAnchor>
  <xdr:twoCellAnchor>
    <xdr:from>
      <xdr:col>36</xdr:col>
      <xdr:colOff>47625</xdr:colOff>
      <xdr:row>12</xdr:row>
      <xdr:rowOff>104775</xdr:rowOff>
    </xdr:from>
    <xdr:to>
      <xdr:col>40</xdr:col>
      <xdr:colOff>523875</xdr:colOff>
      <xdr:row>14</xdr:row>
      <xdr:rowOff>142875</xdr:rowOff>
    </xdr:to>
    <xdr:sp>
      <xdr:nvSpPr>
        <xdr:cNvPr id="8" name="AutoShape 110"/>
        <xdr:cNvSpPr>
          <a:spLocks/>
        </xdr:cNvSpPr>
      </xdr:nvSpPr>
      <xdr:spPr>
        <a:xfrm>
          <a:off x="14277975" y="2209800"/>
          <a:ext cx="1466850" cy="438150"/>
        </a:xfrm>
        <a:prstGeom prst="wedgeRectCallout">
          <a:avLst>
            <a:gd name="adj1" fmla="val -22078"/>
            <a:gd name="adj2" fmla="val -71740"/>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P1</a:t>
          </a:r>
          <a:r>
            <a:rPr lang="en-US" cap="none" sz="800" b="0" i="0" u="none" baseline="-25000">
              <a:latin typeface="Arial"/>
              <a:ea typeface="Arial"/>
              <a:cs typeface="Arial"/>
            </a:rPr>
            <a:t>si</a:t>
          </a:r>
          <a:r>
            <a:rPr lang="en-US" cap="none" sz="800" b="0" i="0" u="none" baseline="0">
              <a:latin typeface="Arial"/>
              <a:ea typeface="Arial"/>
              <a:cs typeface="Arial"/>
            </a:rPr>
            <a:t> should be the mass remaining in pot one at the end of the hot start test (P1</a:t>
          </a:r>
          <a:r>
            <a:rPr lang="en-US" cap="none" sz="800" b="0" i="0" u="none" baseline="-25000">
              <a:latin typeface="Arial"/>
              <a:ea typeface="Arial"/>
              <a:cs typeface="Arial"/>
            </a:rPr>
            <a:t>hf</a:t>
          </a:r>
          <a:r>
            <a:rPr lang="en-US" cap="none" sz="800" b="0" i="0" u="none" baseline="0">
              <a:latin typeface="Arial"/>
              <a:ea typeface="Arial"/>
              <a:cs typeface="Arial"/>
            </a:rPr>
            <a:t>).</a:t>
          </a:r>
        </a:p>
      </xdr:txBody>
    </xdr:sp>
    <xdr:clientData/>
  </xdr:twoCellAnchor>
  <xdr:twoCellAnchor>
    <xdr:from>
      <xdr:col>36</xdr:col>
      <xdr:colOff>47625</xdr:colOff>
      <xdr:row>12</xdr:row>
      <xdr:rowOff>104775</xdr:rowOff>
    </xdr:from>
    <xdr:to>
      <xdr:col>40</xdr:col>
      <xdr:colOff>523875</xdr:colOff>
      <xdr:row>14</xdr:row>
      <xdr:rowOff>142875</xdr:rowOff>
    </xdr:to>
    <xdr:sp>
      <xdr:nvSpPr>
        <xdr:cNvPr id="9" name="AutoShape 113"/>
        <xdr:cNvSpPr>
          <a:spLocks/>
        </xdr:cNvSpPr>
      </xdr:nvSpPr>
      <xdr:spPr>
        <a:xfrm>
          <a:off x="14277975" y="2209800"/>
          <a:ext cx="1466850" cy="438150"/>
        </a:xfrm>
        <a:prstGeom prst="wedgeRectCallout">
          <a:avLst>
            <a:gd name="adj1" fmla="val -22078"/>
            <a:gd name="adj2" fmla="val -71740"/>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P1</a:t>
          </a:r>
          <a:r>
            <a:rPr lang="en-US" cap="none" sz="800" b="0" i="0" u="none" baseline="-25000">
              <a:latin typeface="Arial"/>
              <a:ea typeface="Arial"/>
              <a:cs typeface="Arial"/>
            </a:rPr>
            <a:t>si</a:t>
          </a:r>
          <a:r>
            <a:rPr lang="en-US" cap="none" sz="800" b="0" i="0" u="none" baseline="0">
              <a:latin typeface="Arial"/>
              <a:ea typeface="Arial"/>
              <a:cs typeface="Arial"/>
            </a:rPr>
            <a:t> should be the mass remaining in pot one at the end of the hot start test (P1</a:t>
          </a:r>
          <a:r>
            <a:rPr lang="en-US" cap="none" sz="800" b="0" i="0" u="none" baseline="-25000">
              <a:latin typeface="Arial"/>
              <a:ea typeface="Arial"/>
              <a:cs typeface="Arial"/>
            </a:rPr>
            <a:t>hf</a:t>
          </a:r>
          <a:r>
            <a:rPr lang="en-US" cap="none" sz="800" b="0" i="0" u="none" baseline="0">
              <a:latin typeface="Arial"/>
              <a:ea typeface="Arial"/>
              <a:cs typeface="Arial"/>
            </a:rPr>
            <a:t>).</a:t>
          </a:r>
        </a:p>
      </xdr:txBody>
    </xdr:sp>
    <xdr:clientData/>
  </xdr:twoCellAnchor>
  <xdr:twoCellAnchor>
    <xdr:from>
      <xdr:col>36</xdr:col>
      <xdr:colOff>57150</xdr:colOff>
      <xdr:row>8</xdr:row>
      <xdr:rowOff>95250</xdr:rowOff>
    </xdr:from>
    <xdr:to>
      <xdr:col>40</xdr:col>
      <xdr:colOff>514350</xdr:colOff>
      <xdr:row>10</xdr:row>
      <xdr:rowOff>133350</xdr:rowOff>
    </xdr:to>
    <xdr:sp>
      <xdr:nvSpPr>
        <xdr:cNvPr id="10" name="AutoShape 114"/>
        <xdr:cNvSpPr>
          <a:spLocks/>
        </xdr:cNvSpPr>
      </xdr:nvSpPr>
      <xdr:spPr>
        <a:xfrm>
          <a:off x="14287500" y="1400175"/>
          <a:ext cx="1447800" cy="438150"/>
        </a:xfrm>
        <a:prstGeom prst="wedgeRectCallout">
          <a:avLst>
            <a:gd name="adj1" fmla="val -21050"/>
            <a:gd name="adj2" fmla="val -73912"/>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T1</a:t>
          </a:r>
          <a:r>
            <a:rPr lang="en-US" cap="none" sz="800" b="0" i="0" u="none" baseline="-25000">
              <a:latin typeface="Arial"/>
              <a:ea typeface="Arial"/>
              <a:cs typeface="Arial"/>
            </a:rPr>
            <a:t>si</a:t>
          </a:r>
          <a:r>
            <a:rPr lang="en-US" cap="none" sz="800" b="0" i="0" u="none" baseline="0">
              <a:latin typeface="Arial"/>
              <a:ea typeface="Arial"/>
              <a:cs typeface="Arial"/>
            </a:rPr>
            <a:t> is set equal to T</a:t>
          </a:r>
          <a:r>
            <a:rPr lang="en-US" cap="none" sz="800" b="0" i="0" u="none" baseline="-25000">
              <a:latin typeface="Arial"/>
              <a:ea typeface="Arial"/>
              <a:cs typeface="Arial"/>
            </a:rPr>
            <a:t>b </a:t>
          </a:r>
          <a:r>
            <a:rPr lang="en-US" cap="none" sz="800" b="0" i="0" u="none" baseline="0">
              <a:latin typeface="Arial"/>
              <a:ea typeface="Arial"/>
              <a:cs typeface="Arial"/>
            </a:rPr>
            <a:t>because the simmer test starts after the pot has boiled.</a:t>
          </a:r>
        </a:p>
      </xdr:txBody>
    </xdr:sp>
    <xdr:clientData/>
  </xdr:twoCellAnchor>
  <xdr:twoCellAnchor>
    <xdr:from>
      <xdr:col>11</xdr:col>
      <xdr:colOff>257175</xdr:colOff>
      <xdr:row>9</xdr:row>
      <xdr:rowOff>133350</xdr:rowOff>
    </xdr:from>
    <xdr:to>
      <xdr:col>18</xdr:col>
      <xdr:colOff>28575</xdr:colOff>
      <xdr:row>13</xdr:row>
      <xdr:rowOff>114300</xdr:rowOff>
    </xdr:to>
    <xdr:sp>
      <xdr:nvSpPr>
        <xdr:cNvPr id="11" name="AutoShape 115"/>
        <xdr:cNvSpPr>
          <a:spLocks/>
        </xdr:cNvSpPr>
      </xdr:nvSpPr>
      <xdr:spPr>
        <a:xfrm>
          <a:off x="5324475" y="1638300"/>
          <a:ext cx="2743200" cy="781050"/>
        </a:xfrm>
        <a:prstGeom prst="wedgeRectCallout">
          <a:avLst>
            <a:gd name="adj1" fmla="val -58333"/>
            <a:gd name="adj2" fmla="val -2439"/>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If possible, enter a locally derived calorific value. Enter the value in cell E19 if the calorific value is for dry fuel (0% MC). Use cell E22 if it is for moist fuel. If a local calorific value can not be obtained, choose the closest fuel from this menu.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xdr:row>
      <xdr:rowOff>57150</xdr:rowOff>
    </xdr:from>
    <xdr:to>
      <xdr:col>21</xdr:col>
      <xdr:colOff>85725</xdr:colOff>
      <xdr:row>15</xdr:row>
      <xdr:rowOff>57150</xdr:rowOff>
    </xdr:to>
    <xdr:sp>
      <xdr:nvSpPr>
        <xdr:cNvPr id="1" name="TextBox 1"/>
        <xdr:cNvSpPr txBox="1">
          <a:spLocks noChangeArrowheads="1"/>
        </xdr:cNvSpPr>
      </xdr:nvSpPr>
      <xdr:spPr>
        <a:xfrm>
          <a:off x="5457825" y="1200150"/>
          <a:ext cx="2571750" cy="2057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The Delmhorst J-2000 moisture analyzer measures fuel moisture on a dry basis.  To find moisture on a wet basis, simply use the following calculation: 
This spreadsheet does this calculation automatically.  Output from the HH data and results worksheet requires moisture content on a wet basis, so the conversion is very important.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D51"/>
  <sheetViews>
    <sheetView showGridLines="0" showZeros="0" tabSelected="1" view="pageBreakPreview" zoomScaleSheetLayoutView="100" workbookViewId="0" topLeftCell="A1">
      <selection activeCell="E20" sqref="E20"/>
    </sheetView>
  </sheetViews>
  <sheetFormatPr defaultColWidth="9.140625" defaultRowHeight="27.75" customHeight="1"/>
  <cols>
    <col min="1" max="1" width="1.7109375" style="29" customWidth="1"/>
    <col min="2" max="2" width="14.57421875" style="29" customWidth="1"/>
    <col min="3" max="3" width="6.57421875" style="27" customWidth="1"/>
    <col min="4" max="4" width="12.7109375" style="29" customWidth="1"/>
    <col min="5" max="5" width="7.7109375" style="29" customWidth="1"/>
    <col min="6" max="6" width="2.00390625" style="29" customWidth="1"/>
    <col min="7" max="7" width="5.28125" style="29" customWidth="1"/>
    <col min="8" max="8" width="2.00390625" style="27" customWidth="1"/>
    <col min="9" max="9" width="7.28125" style="27" customWidth="1"/>
    <col min="10" max="10" width="1.7109375" style="27" customWidth="1"/>
    <col min="11" max="11" width="14.421875" style="27" customWidth="1"/>
    <col min="12" max="12" width="5.7109375" style="27" customWidth="1"/>
    <col min="13" max="13" width="14.57421875" style="27" customWidth="1"/>
    <col min="14" max="14" width="7.7109375" style="27" customWidth="1"/>
    <col min="15" max="15" width="2.00390625" style="27" customWidth="1"/>
    <col min="16" max="16" width="5.28125" style="27" customWidth="1"/>
    <col min="17" max="17" width="2.00390625" style="27" customWidth="1"/>
    <col min="18" max="18" width="7.28125" style="27" customWidth="1"/>
    <col min="19" max="19" width="1.7109375" style="29" customWidth="1"/>
    <col min="20" max="20" width="1.7109375" style="47" customWidth="1"/>
    <col min="21" max="21" width="25.421875" style="47" customWidth="1"/>
    <col min="22" max="22" width="5.421875" style="47" customWidth="1"/>
    <col min="23" max="23" width="8.7109375" style="47" customWidth="1"/>
    <col min="24" max="24" width="5.00390625" style="47" customWidth="1"/>
    <col min="25" max="26" width="0.85546875" style="47" customWidth="1"/>
    <col min="27" max="27" width="8.7109375" style="47" customWidth="1"/>
    <col min="28" max="28" width="5.00390625" style="47" customWidth="1"/>
    <col min="29" max="29" width="0.85546875" style="47" customWidth="1"/>
    <col min="30" max="30" width="8.140625" style="47" customWidth="1"/>
    <col min="31" max="31" width="4.7109375" style="47" customWidth="1"/>
    <col min="32" max="33" width="0.85546875" style="47" customWidth="1"/>
    <col min="34" max="34" width="8.140625" style="47" customWidth="1"/>
    <col min="35" max="35" width="5.00390625" style="47" customWidth="1"/>
    <col min="36" max="36" width="0.85546875" style="47" customWidth="1"/>
    <col min="37" max="37" width="8.140625" style="47" customWidth="1"/>
    <col min="38" max="38" width="4.7109375" style="47" customWidth="1"/>
    <col min="39" max="40" width="0.9921875" style="47" customWidth="1"/>
    <col min="41" max="41" width="8.140625" style="47" customWidth="1"/>
    <col min="42" max="42" width="6.140625" style="47" customWidth="1"/>
    <col min="43" max="43" width="1.7109375" style="47" customWidth="1"/>
    <col min="44" max="44" width="1.8515625" style="29" customWidth="1"/>
    <col min="45" max="51" width="16.8515625" style="29" customWidth="1"/>
    <col min="52" max="52" width="1.8515625" style="29" customWidth="1"/>
    <col min="53"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2" width="1.7109375" style="0" customWidth="1"/>
    <col min="63" max="63" width="33.7109375" style="0" customWidth="1"/>
    <col min="64" max="64" width="5.8515625" style="0" customWidth="1"/>
    <col min="65" max="65" width="6.421875" style="0" customWidth="1"/>
    <col min="66" max="66" width="5.421875" style="0" customWidth="1"/>
    <col min="67" max="67" width="6.7109375" style="0" customWidth="1"/>
    <col min="68" max="68" width="7.421875" style="0" customWidth="1"/>
    <col min="69" max="69" width="20.8515625" style="0" customWidth="1"/>
    <col min="70" max="70" width="1.7109375" style="0" hidden="1" customWidth="1"/>
    <col min="80" max="131" width="15.7109375" style="0" customWidth="1"/>
    <col min="132" max="16384" width="15.7109375" style="29" customWidth="1"/>
  </cols>
  <sheetData>
    <row r="1" spans="1:134" ht="6" customHeight="1" thickBot="1" thickTop="1">
      <c r="A1" s="127"/>
      <c r="B1" s="48"/>
      <c r="C1" s="48"/>
      <c r="D1" s="48"/>
      <c r="E1" s="48"/>
      <c r="F1" s="48"/>
      <c r="G1" s="48"/>
      <c r="H1" s="48"/>
      <c r="I1" s="48"/>
      <c r="J1" s="48"/>
      <c r="K1" s="48"/>
      <c r="L1" s="48"/>
      <c r="M1" s="48"/>
      <c r="N1" s="48"/>
      <c r="O1" s="48"/>
      <c r="P1" s="48"/>
      <c r="Q1" s="48"/>
      <c r="R1" s="48"/>
      <c r="S1" s="49"/>
      <c r="T1" s="78"/>
      <c r="U1" s="79"/>
      <c r="V1" s="79"/>
      <c r="W1" s="79"/>
      <c r="X1" s="79"/>
      <c r="Y1" s="79"/>
      <c r="Z1" s="79"/>
      <c r="AA1" s="79"/>
      <c r="AB1" s="79"/>
      <c r="AC1" s="79"/>
      <c r="AD1" s="79"/>
      <c r="AE1" s="79"/>
      <c r="AF1" s="79"/>
      <c r="AG1" s="79"/>
      <c r="AH1" s="79"/>
      <c r="AI1" s="79"/>
      <c r="AJ1" s="79"/>
      <c r="AK1" s="79"/>
      <c r="AL1" s="79"/>
      <c r="AM1" s="79"/>
      <c r="AN1" s="79"/>
      <c r="AO1" s="79"/>
      <c r="AP1" s="79"/>
      <c r="AQ1" s="80"/>
      <c r="AR1" s="78"/>
      <c r="AS1" s="79"/>
      <c r="AT1" s="79"/>
      <c r="AU1" s="48"/>
      <c r="AV1" s="48"/>
      <c r="AW1" s="48"/>
      <c r="AX1" s="48"/>
      <c r="AY1" s="48"/>
      <c r="AZ1" s="49"/>
      <c r="BA1" s="48"/>
      <c r="BB1" s="48"/>
      <c r="BC1" s="49"/>
      <c r="EB1"/>
      <c r="EC1"/>
      <c r="ED1"/>
    </row>
    <row r="2" spans="1:52" ht="12.75" thickBot="1">
      <c r="A2" s="253" t="s">
        <v>36</v>
      </c>
      <c r="B2" s="254"/>
      <c r="C2" s="254"/>
      <c r="D2" s="254"/>
      <c r="E2" s="254"/>
      <c r="F2" s="254"/>
      <c r="G2" s="254"/>
      <c r="H2" s="254"/>
      <c r="I2" s="254"/>
      <c r="J2" s="254"/>
      <c r="K2" s="254"/>
      <c r="L2" s="254"/>
      <c r="M2" s="254"/>
      <c r="N2" s="254"/>
      <c r="O2" s="254"/>
      <c r="P2" s="254"/>
      <c r="Q2" s="254"/>
      <c r="R2" s="254"/>
      <c r="S2" s="255"/>
      <c r="T2" s="82"/>
      <c r="U2" s="139"/>
      <c r="V2" s="137"/>
      <c r="W2" s="278" t="s">
        <v>680</v>
      </c>
      <c r="X2" s="279"/>
      <c r="Y2" s="279"/>
      <c r="Z2" s="279"/>
      <c r="AA2" s="279"/>
      <c r="AB2" s="280"/>
      <c r="AC2" s="138"/>
      <c r="AD2" s="278" t="s">
        <v>681</v>
      </c>
      <c r="AE2" s="279"/>
      <c r="AF2" s="279"/>
      <c r="AG2" s="279"/>
      <c r="AH2" s="279"/>
      <c r="AI2" s="280"/>
      <c r="AJ2" s="64"/>
      <c r="AK2" s="278" t="s">
        <v>589</v>
      </c>
      <c r="AL2" s="279"/>
      <c r="AM2" s="279"/>
      <c r="AN2" s="279"/>
      <c r="AO2" s="279"/>
      <c r="AP2" s="280"/>
      <c r="AQ2" s="81"/>
      <c r="AR2" s="75"/>
      <c r="AS2" s="27"/>
      <c r="AT2" s="160"/>
      <c r="AU2" s="27"/>
      <c r="AV2" s="27"/>
      <c r="AW2" s="27"/>
      <c r="AX2" s="27"/>
      <c r="AY2" s="27"/>
      <c r="AZ2" s="54"/>
    </row>
    <row r="3" spans="1:52" ht="12">
      <c r="A3" s="51"/>
      <c r="B3" s="21" t="s">
        <v>629</v>
      </c>
      <c r="C3" s="21"/>
      <c r="D3" s="21"/>
      <c r="E3" s="21"/>
      <c r="F3" s="21"/>
      <c r="G3" s="21"/>
      <c r="H3" s="21"/>
      <c r="I3" s="21"/>
      <c r="J3" s="21"/>
      <c r="K3" s="21"/>
      <c r="L3" s="21"/>
      <c r="M3" s="21"/>
      <c r="N3" s="21"/>
      <c r="O3" s="21"/>
      <c r="P3" s="21"/>
      <c r="Q3" s="21"/>
      <c r="R3" s="21"/>
      <c r="S3" s="52"/>
      <c r="T3" s="141"/>
      <c r="U3" s="133"/>
      <c r="V3" s="76"/>
      <c r="W3" s="281" t="s">
        <v>26</v>
      </c>
      <c r="X3" s="281"/>
      <c r="Y3" s="146"/>
      <c r="Z3" s="64"/>
      <c r="AA3" s="281" t="s">
        <v>592</v>
      </c>
      <c r="AB3" s="282"/>
      <c r="AC3" s="138"/>
      <c r="AD3" s="283" t="s">
        <v>26</v>
      </c>
      <c r="AE3" s="284"/>
      <c r="AF3" s="146"/>
      <c r="AG3" s="64"/>
      <c r="AH3" s="281" t="s">
        <v>592</v>
      </c>
      <c r="AI3" s="282"/>
      <c r="AJ3" s="138"/>
      <c r="AK3" s="285" t="s">
        <v>633</v>
      </c>
      <c r="AL3" s="285"/>
      <c r="AM3" s="146"/>
      <c r="AN3" s="64"/>
      <c r="AO3" s="285" t="s">
        <v>628</v>
      </c>
      <c r="AP3" s="286"/>
      <c r="AQ3" s="81"/>
      <c r="AR3" s="53"/>
      <c r="AS3" s="37" t="s">
        <v>595</v>
      </c>
      <c r="AT3" s="91"/>
      <c r="AU3" s="91"/>
      <c r="AV3" s="91"/>
      <c r="AW3" s="91"/>
      <c r="AX3" s="91"/>
      <c r="AY3" s="92"/>
      <c r="AZ3" s="54"/>
    </row>
    <row r="4" spans="1:52" ht="12">
      <c r="A4" s="53"/>
      <c r="B4" s="39" t="s">
        <v>468</v>
      </c>
      <c r="C4" s="39"/>
      <c r="D4" s="39"/>
      <c r="E4" s="39"/>
      <c r="F4" s="39"/>
      <c r="G4" s="39"/>
      <c r="H4" s="39"/>
      <c r="I4" s="39"/>
      <c r="J4" s="38"/>
      <c r="K4" s="38"/>
      <c r="L4" s="38"/>
      <c r="M4" s="38"/>
      <c r="N4" s="38"/>
      <c r="O4" s="38"/>
      <c r="P4" s="38"/>
      <c r="Q4" s="38"/>
      <c r="R4" s="38"/>
      <c r="S4" s="54"/>
      <c r="T4" s="142"/>
      <c r="U4" s="134"/>
      <c r="V4" s="125"/>
      <c r="W4" s="155"/>
      <c r="X4" s="155"/>
      <c r="Y4" s="156"/>
      <c r="Z4" s="154"/>
      <c r="AA4" s="251" t="s">
        <v>591</v>
      </c>
      <c r="AB4" s="275"/>
      <c r="AC4" s="138"/>
      <c r="AD4" s="155"/>
      <c r="AE4" s="155"/>
      <c r="AF4" s="156"/>
      <c r="AG4" s="154"/>
      <c r="AH4" s="251" t="s">
        <v>591</v>
      </c>
      <c r="AI4" s="275"/>
      <c r="AJ4" s="138"/>
      <c r="AK4" s="246" t="s">
        <v>591</v>
      </c>
      <c r="AL4" s="247"/>
      <c r="AM4" s="157"/>
      <c r="AN4" s="155"/>
      <c r="AO4" s="247" t="s">
        <v>590</v>
      </c>
      <c r="AP4" s="248"/>
      <c r="AQ4" s="81"/>
      <c r="AR4" s="53"/>
      <c r="AS4" s="257"/>
      <c r="AT4" s="258"/>
      <c r="AU4" s="258"/>
      <c r="AV4" s="258"/>
      <c r="AW4" s="258"/>
      <c r="AX4" s="258"/>
      <c r="AY4" s="259"/>
      <c r="AZ4" s="54"/>
    </row>
    <row r="5" spans="1:52" ht="12.75" thickBot="1">
      <c r="A5" s="53"/>
      <c r="B5" s="43" t="s">
        <v>23</v>
      </c>
      <c r="D5" s="27"/>
      <c r="E5" s="27"/>
      <c r="F5" s="27"/>
      <c r="G5" s="27"/>
      <c r="S5" s="54"/>
      <c r="T5" s="142"/>
      <c r="U5" s="143" t="s">
        <v>581</v>
      </c>
      <c r="V5" s="128" t="s">
        <v>7</v>
      </c>
      <c r="W5" s="144" t="s">
        <v>27</v>
      </c>
      <c r="X5" s="144" t="s">
        <v>28</v>
      </c>
      <c r="Y5" s="147"/>
      <c r="Z5" s="144"/>
      <c r="AA5" s="144" t="s">
        <v>27</v>
      </c>
      <c r="AB5" s="128" t="s">
        <v>28</v>
      </c>
      <c r="AC5" s="138"/>
      <c r="AD5" s="144" t="s">
        <v>27</v>
      </c>
      <c r="AE5" s="144" t="s">
        <v>28</v>
      </c>
      <c r="AF5" s="151"/>
      <c r="AG5" s="77"/>
      <c r="AH5" s="144" t="s">
        <v>27</v>
      </c>
      <c r="AI5" s="128" t="s">
        <v>28</v>
      </c>
      <c r="AJ5" s="138"/>
      <c r="AK5" s="144" t="s">
        <v>27</v>
      </c>
      <c r="AL5" s="144" t="s">
        <v>28</v>
      </c>
      <c r="AM5" s="151"/>
      <c r="AN5" s="77"/>
      <c r="AO5" s="144" t="s">
        <v>27</v>
      </c>
      <c r="AP5" s="128" t="s">
        <v>28</v>
      </c>
      <c r="AQ5" s="81"/>
      <c r="AR5" s="53"/>
      <c r="AS5" s="257"/>
      <c r="AT5" s="258"/>
      <c r="AU5" s="258"/>
      <c r="AV5" s="258"/>
      <c r="AW5" s="258"/>
      <c r="AX5" s="258"/>
      <c r="AY5" s="259"/>
      <c r="AZ5" s="54"/>
    </row>
    <row r="6" spans="1:52" ht="15.75" customHeight="1">
      <c r="A6" s="53"/>
      <c r="B6" s="27" t="s">
        <v>24</v>
      </c>
      <c r="D6" s="258"/>
      <c r="E6" s="258"/>
      <c r="F6" s="258"/>
      <c r="G6" s="258"/>
      <c r="H6" s="258"/>
      <c r="I6" s="258"/>
      <c r="J6" s="258"/>
      <c r="K6" s="258"/>
      <c r="M6" s="270" t="s">
        <v>630</v>
      </c>
      <c r="N6" s="270"/>
      <c r="O6" s="270"/>
      <c r="P6" s="270"/>
      <c r="Q6" s="270"/>
      <c r="R6" s="270"/>
      <c r="S6" s="54"/>
      <c r="T6" s="142"/>
      <c r="U6" s="125" t="s">
        <v>686</v>
      </c>
      <c r="V6" s="119" t="s">
        <v>685</v>
      </c>
      <c r="W6" s="237"/>
      <c r="X6" s="24" t="s">
        <v>478</v>
      </c>
      <c r="Y6" s="148"/>
      <c r="Z6" s="24"/>
      <c r="AA6" s="237"/>
      <c r="AB6" s="124" t="s">
        <v>479</v>
      </c>
      <c r="AC6" s="138"/>
      <c r="AD6" s="237"/>
      <c r="AE6" s="24" t="s">
        <v>480</v>
      </c>
      <c r="AF6" s="152"/>
      <c r="AG6" s="64"/>
      <c r="AH6" s="237"/>
      <c r="AI6" s="124" t="s">
        <v>481</v>
      </c>
      <c r="AJ6" s="138"/>
      <c r="AK6" s="237"/>
      <c r="AL6" s="24" t="s">
        <v>482</v>
      </c>
      <c r="AM6" s="152"/>
      <c r="AN6" s="64"/>
      <c r="AO6" s="237"/>
      <c r="AP6" s="124" t="s">
        <v>483</v>
      </c>
      <c r="AQ6" s="81"/>
      <c r="AR6" s="53"/>
      <c r="AS6" s="257"/>
      <c r="AT6" s="258"/>
      <c r="AU6" s="258"/>
      <c r="AV6" s="258"/>
      <c r="AW6" s="258"/>
      <c r="AX6" s="258"/>
      <c r="AY6" s="259"/>
      <c r="AZ6" s="54"/>
    </row>
    <row r="7" spans="1:52" ht="15.75" customHeight="1">
      <c r="A7" s="53"/>
      <c r="B7" s="27"/>
      <c r="D7" s="258"/>
      <c r="E7" s="258"/>
      <c r="F7" s="258"/>
      <c r="G7" s="258"/>
      <c r="H7" s="258"/>
      <c r="I7" s="258"/>
      <c r="J7" s="258"/>
      <c r="K7" s="258"/>
      <c r="M7" s="270"/>
      <c r="N7" s="270"/>
      <c r="O7" s="270"/>
      <c r="P7" s="270"/>
      <c r="Q7" s="270"/>
      <c r="R7" s="270"/>
      <c r="S7" s="54"/>
      <c r="T7" s="142"/>
      <c r="U7" s="125" t="s">
        <v>3</v>
      </c>
      <c r="V7" s="119" t="s">
        <v>21</v>
      </c>
      <c r="W7" s="55"/>
      <c r="X7" s="24" t="s">
        <v>469</v>
      </c>
      <c r="Y7" s="148"/>
      <c r="Z7" s="24"/>
      <c r="AA7" s="55"/>
      <c r="AB7" s="124" t="s">
        <v>470</v>
      </c>
      <c r="AC7" s="138"/>
      <c r="AD7" s="55"/>
      <c r="AE7" s="24" t="s">
        <v>471</v>
      </c>
      <c r="AF7" s="152"/>
      <c r="AG7" s="64"/>
      <c r="AH7" s="55"/>
      <c r="AI7" s="124" t="s">
        <v>472</v>
      </c>
      <c r="AJ7" s="138"/>
      <c r="AK7" s="55"/>
      <c r="AL7" s="24" t="s">
        <v>473</v>
      </c>
      <c r="AM7" s="152"/>
      <c r="AN7" s="64"/>
      <c r="AO7" s="55"/>
      <c r="AP7" s="124" t="s">
        <v>474</v>
      </c>
      <c r="AQ7" s="81"/>
      <c r="AR7" s="53"/>
      <c r="AS7" s="94"/>
      <c r="AT7" s="56"/>
      <c r="AU7" s="56"/>
      <c r="AV7" s="56"/>
      <c r="AW7" s="56"/>
      <c r="AX7" s="56"/>
      <c r="AY7" s="95"/>
      <c r="AZ7" s="54"/>
    </row>
    <row r="8" spans="1:52" ht="15.75" customHeight="1">
      <c r="A8" s="53"/>
      <c r="B8" s="27" t="s">
        <v>0</v>
      </c>
      <c r="D8" s="258"/>
      <c r="E8" s="258"/>
      <c r="F8" s="258"/>
      <c r="G8" s="258"/>
      <c r="H8" s="258"/>
      <c r="I8" s="258"/>
      <c r="J8" s="258"/>
      <c r="K8" s="258"/>
      <c r="M8" s="287"/>
      <c r="N8" s="287"/>
      <c r="O8" s="287"/>
      <c r="P8" s="287"/>
      <c r="Q8" s="287"/>
      <c r="R8" s="287"/>
      <c r="S8" s="54"/>
      <c r="T8" s="142"/>
      <c r="U8" s="125" t="s">
        <v>4</v>
      </c>
      <c r="V8" s="119" t="s">
        <v>580</v>
      </c>
      <c r="W8" s="213"/>
      <c r="X8" s="214" t="s">
        <v>521</v>
      </c>
      <c r="Y8" s="215"/>
      <c r="Z8" s="214"/>
      <c r="AA8" s="213"/>
      <c r="AB8" s="216" t="s">
        <v>522</v>
      </c>
      <c r="AC8" s="217"/>
      <c r="AD8" s="213"/>
      <c r="AE8" s="214" t="s">
        <v>547</v>
      </c>
      <c r="AF8" s="218"/>
      <c r="AG8" s="219"/>
      <c r="AH8" s="213"/>
      <c r="AI8" s="124" t="s">
        <v>548</v>
      </c>
      <c r="AJ8" s="138"/>
      <c r="AK8" s="211"/>
      <c r="AL8" s="24" t="s">
        <v>549</v>
      </c>
      <c r="AM8" s="152"/>
      <c r="AN8" s="64"/>
      <c r="AO8" s="213"/>
      <c r="AP8" s="124" t="s">
        <v>550</v>
      </c>
      <c r="AQ8" s="81"/>
      <c r="AR8" s="53"/>
      <c r="AS8" s="257"/>
      <c r="AT8" s="258"/>
      <c r="AU8" s="258"/>
      <c r="AV8" s="258"/>
      <c r="AW8" s="258"/>
      <c r="AX8" s="258"/>
      <c r="AY8" s="259"/>
      <c r="AZ8" s="54"/>
    </row>
    <row r="9" spans="1:52" ht="15.75" customHeight="1">
      <c r="A9" s="53"/>
      <c r="B9" s="27" t="s">
        <v>1</v>
      </c>
      <c r="D9" s="276"/>
      <c r="E9" s="276"/>
      <c r="F9" s="276"/>
      <c r="G9" s="276"/>
      <c r="H9" s="276"/>
      <c r="I9" s="276"/>
      <c r="J9" s="276"/>
      <c r="K9" s="276"/>
      <c r="M9" s="288"/>
      <c r="N9" s="288"/>
      <c r="O9" s="288"/>
      <c r="P9" s="288"/>
      <c r="Q9" s="288"/>
      <c r="R9" s="288"/>
      <c r="S9" s="54"/>
      <c r="T9" s="142"/>
      <c r="U9" s="135" t="s">
        <v>518</v>
      </c>
      <c r="V9" s="119" t="s">
        <v>580</v>
      </c>
      <c r="W9" s="213"/>
      <c r="X9" s="214" t="s">
        <v>523</v>
      </c>
      <c r="Y9" s="215"/>
      <c r="Z9" s="214"/>
      <c r="AA9" s="213"/>
      <c r="AB9" s="216" t="s">
        <v>524</v>
      </c>
      <c r="AC9" s="217"/>
      <c r="AD9" s="213"/>
      <c r="AE9" s="214" t="s">
        <v>551</v>
      </c>
      <c r="AF9" s="218"/>
      <c r="AG9" s="219"/>
      <c r="AH9" s="213"/>
      <c r="AI9" s="124" t="s">
        <v>552</v>
      </c>
      <c r="AJ9" s="138"/>
      <c r="AK9"/>
      <c r="AL9"/>
      <c r="AM9" s="152"/>
      <c r="AN9"/>
      <c r="AO9"/>
      <c r="AP9" s="124"/>
      <c r="AQ9" s="81"/>
      <c r="AR9" s="53"/>
      <c r="AS9" s="260"/>
      <c r="AT9" s="261"/>
      <c r="AU9" s="261"/>
      <c r="AV9" s="261"/>
      <c r="AW9" s="261"/>
      <c r="AX9" s="261"/>
      <c r="AY9" s="262"/>
      <c r="AZ9" s="54"/>
    </row>
    <row r="10" spans="1:52" ht="15.75" customHeight="1">
      <c r="A10" s="53"/>
      <c r="B10" s="27" t="s">
        <v>14</v>
      </c>
      <c r="D10" s="258"/>
      <c r="E10" s="258"/>
      <c r="F10" s="258"/>
      <c r="G10" s="258"/>
      <c r="H10" s="258"/>
      <c r="I10" s="258"/>
      <c r="J10" s="258"/>
      <c r="K10" s="258"/>
      <c r="S10" s="54"/>
      <c r="T10" s="142"/>
      <c r="U10" s="135" t="s">
        <v>519</v>
      </c>
      <c r="V10" s="119" t="s">
        <v>580</v>
      </c>
      <c r="W10" s="213"/>
      <c r="X10" s="214" t="s">
        <v>525</v>
      </c>
      <c r="Y10" s="215"/>
      <c r="Z10" s="214"/>
      <c r="AA10" s="213"/>
      <c r="AB10" s="216" t="s">
        <v>526</v>
      </c>
      <c r="AC10" s="217"/>
      <c r="AD10" s="213"/>
      <c r="AE10" s="214" t="s">
        <v>553</v>
      </c>
      <c r="AF10" s="218"/>
      <c r="AG10" s="219"/>
      <c r="AH10" s="213"/>
      <c r="AI10" s="124" t="s">
        <v>554</v>
      </c>
      <c r="AJ10" s="138"/>
      <c r="AK10"/>
      <c r="AL10"/>
      <c r="AM10" s="152"/>
      <c r="AN10"/>
      <c r="AO10"/>
      <c r="AP10" s="124"/>
      <c r="AQ10" s="81"/>
      <c r="AR10" s="53"/>
      <c r="AS10" s="260"/>
      <c r="AT10" s="261"/>
      <c r="AU10" s="261"/>
      <c r="AV10" s="261"/>
      <c r="AW10" s="261"/>
      <c r="AX10" s="261"/>
      <c r="AY10" s="262"/>
      <c r="AZ10" s="54"/>
    </row>
    <row r="11" spans="1:52" ht="15.75" customHeight="1">
      <c r="A11" s="53"/>
      <c r="B11" s="27" t="s">
        <v>2</v>
      </c>
      <c r="D11" s="258"/>
      <c r="E11" s="258"/>
      <c r="F11" s="258"/>
      <c r="G11" s="258"/>
      <c r="H11" s="258"/>
      <c r="I11" s="258"/>
      <c r="J11" s="258"/>
      <c r="K11" s="258"/>
      <c r="S11" s="54"/>
      <c r="T11" s="142"/>
      <c r="U11" s="135" t="s">
        <v>520</v>
      </c>
      <c r="V11" s="119" t="s">
        <v>580</v>
      </c>
      <c r="W11" s="213"/>
      <c r="X11" s="214" t="s">
        <v>527</v>
      </c>
      <c r="Y11" s="215"/>
      <c r="Z11" s="214"/>
      <c r="AA11" s="213"/>
      <c r="AB11" s="216" t="s">
        <v>528</v>
      </c>
      <c r="AC11" s="217"/>
      <c r="AD11" s="213"/>
      <c r="AE11" s="214" t="s">
        <v>555</v>
      </c>
      <c r="AF11" s="218"/>
      <c r="AG11" s="219"/>
      <c r="AH11" s="213"/>
      <c r="AI11" s="124" t="s">
        <v>556</v>
      </c>
      <c r="AJ11" s="138"/>
      <c r="AK11"/>
      <c r="AL11"/>
      <c r="AM11" s="152"/>
      <c r="AN11"/>
      <c r="AO11"/>
      <c r="AP11" s="124"/>
      <c r="AQ11" s="81"/>
      <c r="AR11" s="53"/>
      <c r="AS11" s="260"/>
      <c r="AT11" s="261"/>
      <c r="AU11" s="261"/>
      <c r="AV11" s="261"/>
      <c r="AW11" s="261"/>
      <c r="AX11" s="261"/>
      <c r="AY11" s="262"/>
      <c r="AZ11" s="54"/>
    </row>
    <row r="12" spans="1:52" ht="15.75" customHeight="1">
      <c r="A12" s="53"/>
      <c r="B12" s="27" t="s">
        <v>679</v>
      </c>
      <c r="D12" s="249">
        <v>1</v>
      </c>
      <c r="E12" s="250"/>
      <c r="F12" s="250"/>
      <c r="G12" s="250"/>
      <c r="H12" s="250"/>
      <c r="I12" s="250"/>
      <c r="J12" s="58"/>
      <c r="S12" s="54"/>
      <c r="T12" s="142"/>
      <c r="U12" s="125" t="s">
        <v>536</v>
      </c>
      <c r="V12" s="119" t="s">
        <v>21</v>
      </c>
      <c r="W12" s="55"/>
      <c r="X12" s="24" t="s">
        <v>557</v>
      </c>
      <c r="Y12" s="148"/>
      <c r="Z12" s="24"/>
      <c r="AA12" s="55"/>
      <c r="AB12" s="124" t="s">
        <v>558</v>
      </c>
      <c r="AC12" s="138"/>
      <c r="AD12" s="55"/>
      <c r="AE12" s="24" t="s">
        <v>537</v>
      </c>
      <c r="AF12" s="152"/>
      <c r="AG12" s="64"/>
      <c r="AH12" s="55"/>
      <c r="AI12" s="124" t="s">
        <v>538</v>
      </c>
      <c r="AJ12" s="138"/>
      <c r="AK12" s="57"/>
      <c r="AL12" s="24" t="s">
        <v>539</v>
      </c>
      <c r="AM12" s="152"/>
      <c r="AN12" s="64"/>
      <c r="AO12" s="55"/>
      <c r="AP12" s="124" t="s">
        <v>540</v>
      </c>
      <c r="AQ12" s="81"/>
      <c r="AR12" s="53"/>
      <c r="AS12" s="267"/>
      <c r="AT12" s="268"/>
      <c r="AU12" s="268"/>
      <c r="AV12" s="268"/>
      <c r="AW12" s="268"/>
      <c r="AX12" s="268"/>
      <c r="AY12" s="269"/>
      <c r="AZ12" s="54"/>
    </row>
    <row r="13" spans="1:52" ht="15.75" customHeight="1">
      <c r="A13" s="53"/>
      <c r="B13" s="27" t="s">
        <v>37</v>
      </c>
      <c r="D13" s="250">
        <v>1</v>
      </c>
      <c r="E13" s="250"/>
      <c r="F13" s="250"/>
      <c r="G13" s="250"/>
      <c r="H13" s="250"/>
      <c r="I13" s="250"/>
      <c r="J13" s="58"/>
      <c r="S13" s="54"/>
      <c r="T13" s="142"/>
      <c r="U13" s="135" t="s">
        <v>533</v>
      </c>
      <c r="V13" s="119" t="s">
        <v>21</v>
      </c>
      <c r="W13" s="55"/>
      <c r="X13" s="24" t="s">
        <v>559</v>
      </c>
      <c r="Y13" s="148"/>
      <c r="Z13" s="24"/>
      <c r="AA13" s="55"/>
      <c r="AB13" s="124" t="s">
        <v>560</v>
      </c>
      <c r="AC13" s="138"/>
      <c r="AD13" s="55"/>
      <c r="AE13" s="24" t="s">
        <v>541</v>
      </c>
      <c r="AF13" s="152"/>
      <c r="AG13" s="64"/>
      <c r="AH13" s="55"/>
      <c r="AI13" s="124" t="s">
        <v>542</v>
      </c>
      <c r="AJ13" s="138"/>
      <c r="AK13"/>
      <c r="AL13"/>
      <c r="AM13" s="152"/>
      <c r="AN13"/>
      <c r="AO13"/>
      <c r="AP13" s="124"/>
      <c r="AQ13" s="81"/>
      <c r="AR13" s="53"/>
      <c r="AY13" s="27"/>
      <c r="AZ13" s="54"/>
    </row>
    <row r="14" spans="1:52" ht="15.75" customHeight="1">
      <c r="A14" s="53"/>
      <c r="B14" s="27"/>
      <c r="D14" s="58"/>
      <c r="E14" s="58"/>
      <c r="F14" s="58"/>
      <c r="G14" s="58"/>
      <c r="H14" s="58"/>
      <c r="I14" s="58"/>
      <c r="J14" s="58"/>
      <c r="S14" s="54"/>
      <c r="T14" s="142"/>
      <c r="U14" s="135" t="s">
        <v>534</v>
      </c>
      <c r="V14" s="119" t="s">
        <v>21</v>
      </c>
      <c r="W14" s="55"/>
      <c r="X14" s="24" t="s">
        <v>561</v>
      </c>
      <c r="Y14" s="148"/>
      <c r="Z14" s="24"/>
      <c r="AA14" s="55"/>
      <c r="AB14" s="124" t="s">
        <v>562</v>
      </c>
      <c r="AC14" s="138"/>
      <c r="AD14" s="55"/>
      <c r="AE14" s="24" t="s">
        <v>543</v>
      </c>
      <c r="AF14" s="152"/>
      <c r="AG14" s="64"/>
      <c r="AH14" s="55"/>
      <c r="AI14" s="124" t="s">
        <v>544</v>
      </c>
      <c r="AJ14" s="138"/>
      <c r="AK14"/>
      <c r="AL14"/>
      <c r="AM14" s="152"/>
      <c r="AN14"/>
      <c r="AO14"/>
      <c r="AP14" s="124"/>
      <c r="AQ14" s="81"/>
      <c r="AR14" s="53"/>
      <c r="AS14" s="37" t="s">
        <v>594</v>
      </c>
      <c r="AT14" s="91"/>
      <c r="AU14" s="91"/>
      <c r="AV14" s="91"/>
      <c r="AW14" s="91"/>
      <c r="AX14" s="91"/>
      <c r="AY14" s="92"/>
      <c r="AZ14" s="54"/>
    </row>
    <row r="15" spans="1:52" ht="15.75" customHeight="1" thickBot="1">
      <c r="A15" s="53"/>
      <c r="B15" s="97" t="s">
        <v>597</v>
      </c>
      <c r="C15" s="59"/>
      <c r="D15" s="60"/>
      <c r="E15" s="244"/>
      <c r="F15" s="60"/>
      <c r="G15" s="60"/>
      <c r="H15" s="60"/>
      <c r="I15" s="60"/>
      <c r="J15" s="60"/>
      <c r="K15" s="46"/>
      <c r="L15" s="46"/>
      <c r="M15" s="46"/>
      <c r="N15" s="46"/>
      <c r="O15" s="46"/>
      <c r="P15" s="46"/>
      <c r="Q15" s="46"/>
      <c r="R15" s="46"/>
      <c r="S15" s="54"/>
      <c r="T15" s="142"/>
      <c r="U15" s="135" t="s">
        <v>535</v>
      </c>
      <c r="V15" s="119" t="s">
        <v>21</v>
      </c>
      <c r="W15" s="55"/>
      <c r="X15" s="24" t="s">
        <v>563</v>
      </c>
      <c r="Y15" s="148"/>
      <c r="Z15" s="24"/>
      <c r="AA15" s="55"/>
      <c r="AB15" s="124" t="s">
        <v>564</v>
      </c>
      <c r="AC15" s="138"/>
      <c r="AD15" s="55"/>
      <c r="AE15" s="24" t="s">
        <v>545</v>
      </c>
      <c r="AF15" s="152"/>
      <c r="AG15" s="64"/>
      <c r="AH15" s="55"/>
      <c r="AI15" s="124" t="s">
        <v>546</v>
      </c>
      <c r="AJ15" s="138"/>
      <c r="AK15"/>
      <c r="AL15"/>
      <c r="AM15" s="152"/>
      <c r="AN15"/>
      <c r="AO15"/>
      <c r="AP15" s="124"/>
      <c r="AQ15" s="81"/>
      <c r="AR15" s="53"/>
      <c r="AS15" s="257"/>
      <c r="AT15" s="258"/>
      <c r="AU15" s="258"/>
      <c r="AV15" s="258"/>
      <c r="AW15" s="258"/>
      <c r="AX15" s="258"/>
      <c r="AY15" s="259"/>
      <c r="AZ15" s="54"/>
    </row>
    <row r="16" spans="1:52" ht="15.75" customHeight="1">
      <c r="A16" s="53"/>
      <c r="B16" s="263" t="s">
        <v>598</v>
      </c>
      <c r="C16" s="263"/>
      <c r="D16" s="263"/>
      <c r="E16" s="44" t="s">
        <v>599</v>
      </c>
      <c r="F16" s="44"/>
      <c r="G16" s="44" t="s">
        <v>20</v>
      </c>
      <c r="H16" s="45"/>
      <c r="I16" s="70" t="s">
        <v>28</v>
      </c>
      <c r="J16" s="45"/>
      <c r="K16" s="45" t="s">
        <v>598</v>
      </c>
      <c r="L16" s="45"/>
      <c r="M16" s="45"/>
      <c r="N16" s="44" t="s">
        <v>599</v>
      </c>
      <c r="O16" s="44"/>
      <c r="P16" s="45" t="s">
        <v>20</v>
      </c>
      <c r="Q16" s="45"/>
      <c r="R16" s="70" t="s">
        <v>28</v>
      </c>
      <c r="S16" s="54"/>
      <c r="T16" s="142"/>
      <c r="U16" s="135" t="s">
        <v>585</v>
      </c>
      <c r="V16" s="126" t="s">
        <v>16</v>
      </c>
      <c r="W16" s="258"/>
      <c r="X16" s="258"/>
      <c r="Y16" s="114"/>
      <c r="Z16" s="8"/>
      <c r="AA16" s="74"/>
      <c r="AB16" s="124"/>
      <c r="AC16" s="138"/>
      <c r="AD16" s="258"/>
      <c r="AE16" s="258"/>
      <c r="AF16" s="152"/>
      <c r="AG16" s="64"/>
      <c r="AH16" s="74"/>
      <c r="AI16" s="76"/>
      <c r="AJ16" s="138"/>
      <c r="AK16" s="258"/>
      <c r="AL16" s="258"/>
      <c r="AM16" s="152"/>
      <c r="AN16" s="64"/>
      <c r="AO16" s="64"/>
      <c r="AP16" s="76"/>
      <c r="AQ16" s="81"/>
      <c r="AR16" s="53"/>
      <c r="AS16" s="257"/>
      <c r="AT16" s="258"/>
      <c r="AU16" s="258"/>
      <c r="AV16" s="258"/>
      <c r="AW16" s="258"/>
      <c r="AX16" s="258"/>
      <c r="AY16" s="259"/>
      <c r="AZ16" s="54"/>
    </row>
    <row r="17" spans="1:52" ht="15.75" customHeight="1">
      <c r="A17" s="53"/>
      <c r="B17" s="270" t="s">
        <v>395</v>
      </c>
      <c r="C17" s="270"/>
      <c r="D17" s="270"/>
      <c r="E17" s="212"/>
      <c r="F17" s="26"/>
      <c r="G17" s="27" t="s">
        <v>580</v>
      </c>
      <c r="J17" s="93"/>
      <c r="K17" s="270" t="s">
        <v>529</v>
      </c>
      <c r="L17" s="270"/>
      <c r="M17" s="270"/>
      <c r="N17" s="61"/>
      <c r="O17" s="26"/>
      <c r="P17" s="25" t="s">
        <v>21</v>
      </c>
      <c r="R17" s="24" t="s">
        <v>514</v>
      </c>
      <c r="S17" s="54"/>
      <c r="T17" s="142"/>
      <c r="U17" s="125" t="s">
        <v>13</v>
      </c>
      <c r="V17" s="119" t="s">
        <v>21</v>
      </c>
      <c r="W17" s="96"/>
      <c r="X17" s="27"/>
      <c r="Y17" s="149"/>
      <c r="Z17" s="27"/>
      <c r="AA17" s="55"/>
      <c r="AB17" s="124" t="s">
        <v>475</v>
      </c>
      <c r="AC17" s="138"/>
      <c r="AD17" s="96"/>
      <c r="AE17" s="24"/>
      <c r="AF17" s="152"/>
      <c r="AG17" s="64"/>
      <c r="AH17" s="232"/>
      <c r="AI17" s="124" t="s">
        <v>476</v>
      </c>
      <c r="AJ17" s="138"/>
      <c r="AK17" s="27"/>
      <c r="AL17" s="24"/>
      <c r="AM17" s="152"/>
      <c r="AN17" s="64"/>
      <c r="AO17" s="55"/>
      <c r="AP17" s="124" t="s">
        <v>477</v>
      </c>
      <c r="AQ17" s="81"/>
      <c r="AR17" s="53"/>
      <c r="AS17" s="94"/>
      <c r="AT17" s="56"/>
      <c r="AU17" s="56"/>
      <c r="AV17" s="56"/>
      <c r="AW17" s="56"/>
      <c r="AX17" s="56"/>
      <c r="AY17" s="95"/>
      <c r="AZ17" s="54"/>
    </row>
    <row r="18" spans="1:52" ht="15.75" customHeight="1" thickBot="1">
      <c r="A18" s="53"/>
      <c r="B18" s="270" t="s">
        <v>682</v>
      </c>
      <c r="C18" s="270"/>
      <c r="D18" s="270"/>
      <c r="E18" s="61"/>
      <c r="F18" s="26"/>
      <c r="G18" s="27" t="s">
        <v>467</v>
      </c>
      <c r="J18" s="93"/>
      <c r="K18" s="270" t="s">
        <v>530</v>
      </c>
      <c r="L18" s="270"/>
      <c r="M18" s="270"/>
      <c r="N18" s="61"/>
      <c r="O18" s="26"/>
      <c r="P18" s="25" t="s">
        <v>21</v>
      </c>
      <c r="R18" s="24" t="s">
        <v>515</v>
      </c>
      <c r="S18" s="54"/>
      <c r="T18" s="142"/>
      <c r="U18" s="136"/>
      <c r="V18" s="128"/>
      <c r="W18" s="129"/>
      <c r="X18" s="131"/>
      <c r="Y18" s="150"/>
      <c r="Z18" s="131"/>
      <c r="AA18" s="129"/>
      <c r="AB18" s="130"/>
      <c r="AC18" s="145"/>
      <c r="AD18" s="129"/>
      <c r="AE18" s="131"/>
      <c r="AF18" s="153"/>
      <c r="AG18" s="132"/>
      <c r="AH18" s="129"/>
      <c r="AI18" s="130"/>
      <c r="AJ18" s="145"/>
      <c r="AK18" s="129"/>
      <c r="AL18" s="131"/>
      <c r="AM18" s="153"/>
      <c r="AN18" s="132"/>
      <c r="AO18" s="129"/>
      <c r="AP18" s="140"/>
      <c r="AQ18" s="81"/>
      <c r="AR18" s="53"/>
      <c r="AS18" s="257"/>
      <c r="AT18" s="258"/>
      <c r="AU18" s="258"/>
      <c r="AV18" s="258"/>
      <c r="AW18" s="258"/>
      <c r="AX18" s="258"/>
      <c r="AY18" s="259"/>
      <c r="AZ18" s="54"/>
    </row>
    <row r="19" spans="1:52" ht="15.75" customHeight="1" thickBot="1">
      <c r="A19" s="53"/>
      <c r="B19" s="270" t="s">
        <v>634</v>
      </c>
      <c r="C19" s="270"/>
      <c r="D19" s="270"/>
      <c r="E19" s="231">
        <f>VLOOKUP(D12,'Calorific values'!D2:K88,8)</f>
        <v>0</v>
      </c>
      <c r="F19" s="62"/>
      <c r="G19" s="27" t="s">
        <v>17</v>
      </c>
      <c r="I19" s="25" t="s">
        <v>382</v>
      </c>
      <c r="J19" s="93"/>
      <c r="K19" s="270" t="s">
        <v>531</v>
      </c>
      <c r="L19" s="270"/>
      <c r="M19" s="270"/>
      <c r="N19" s="61"/>
      <c r="O19" s="26"/>
      <c r="P19" s="25" t="s">
        <v>21</v>
      </c>
      <c r="R19" s="24" t="s">
        <v>516</v>
      </c>
      <c r="S19" s="54"/>
      <c r="T19" s="82"/>
      <c r="U19" s="77"/>
      <c r="V19" s="77"/>
      <c r="W19" s="77"/>
      <c r="X19" s="77"/>
      <c r="Y19" s="77"/>
      <c r="Z19" s="77"/>
      <c r="AA19" s="77"/>
      <c r="AB19" s="77"/>
      <c r="AC19" s="77"/>
      <c r="AD19" s="77"/>
      <c r="AE19" s="77"/>
      <c r="AF19" s="77"/>
      <c r="AG19" s="77"/>
      <c r="AH19" s="77"/>
      <c r="AI19" s="77"/>
      <c r="AJ19" s="77"/>
      <c r="AK19" s="77"/>
      <c r="AL19" s="77"/>
      <c r="AM19" s="77"/>
      <c r="AN19" s="77"/>
      <c r="AO19" s="77"/>
      <c r="AP19" s="77"/>
      <c r="AQ19" s="81"/>
      <c r="AR19" s="53"/>
      <c r="AS19" s="260"/>
      <c r="AT19" s="261"/>
      <c r="AU19" s="261"/>
      <c r="AV19" s="261"/>
      <c r="AW19" s="261"/>
      <c r="AX19" s="261"/>
      <c r="AY19" s="262"/>
      <c r="AZ19" s="54"/>
    </row>
    <row r="20" spans="1:52" ht="15.75" customHeight="1">
      <c r="A20" s="53"/>
      <c r="B20" s="270" t="s">
        <v>678</v>
      </c>
      <c r="C20" s="270"/>
      <c r="D20" s="270"/>
      <c r="E20" s="98">
        <f>IF(E19=0,0,(IF(D12&lt;=2,E19-3300,IF(D12=3,E19-2600,(IF(D12&lt;=5,E19-1200,E19-1320))))))</f>
        <v>0</v>
      </c>
      <c r="F20" s="62"/>
      <c r="G20" s="27" t="s">
        <v>17</v>
      </c>
      <c r="I20" s="25" t="s">
        <v>383</v>
      </c>
      <c r="J20" s="93"/>
      <c r="K20" s="270" t="s">
        <v>532</v>
      </c>
      <c r="L20" s="270"/>
      <c r="M20" s="270"/>
      <c r="N20" s="61"/>
      <c r="O20" s="26"/>
      <c r="P20" s="25" t="s">
        <v>21</v>
      </c>
      <c r="R20" s="24" t="s">
        <v>517</v>
      </c>
      <c r="S20" s="54"/>
      <c r="T20" s="82"/>
      <c r="U20" s="64"/>
      <c r="V20" s="64"/>
      <c r="W20" s="158" t="s">
        <v>586</v>
      </c>
      <c r="X20" s="64"/>
      <c r="Y20" s="146"/>
      <c r="Z20" s="64"/>
      <c r="AA20" s="158" t="s">
        <v>587</v>
      </c>
      <c r="AB20" s="64"/>
      <c r="AC20" s="76"/>
      <c r="AD20" s="159" t="s">
        <v>624</v>
      </c>
      <c r="AE20" s="64"/>
      <c r="AF20" s="64"/>
      <c r="AG20" s="64"/>
      <c r="AH20" s="64"/>
      <c r="AI20" s="64"/>
      <c r="AJ20" s="64"/>
      <c r="AK20" s="64"/>
      <c r="AL20" s="64"/>
      <c r="AM20" s="64"/>
      <c r="AN20" s="64"/>
      <c r="AO20" s="64"/>
      <c r="AP20" s="64"/>
      <c r="AQ20" s="81"/>
      <c r="AR20" s="53"/>
      <c r="AS20" s="260"/>
      <c r="AT20" s="261"/>
      <c r="AU20" s="261"/>
      <c r="AV20" s="261"/>
      <c r="AW20" s="261"/>
      <c r="AX20" s="261"/>
      <c r="AY20" s="262"/>
      <c r="AZ20" s="54"/>
    </row>
    <row r="21" spans="1:52" ht="15.75" customHeight="1">
      <c r="A21" s="53"/>
      <c r="B21" s="270" t="s">
        <v>19</v>
      </c>
      <c r="C21" s="270"/>
      <c r="D21" s="270"/>
      <c r="E21" s="224">
        <f>'Fuel Moisture'!F14</f>
        <v>0</v>
      </c>
      <c r="F21" s="63"/>
      <c r="G21" s="27" t="s">
        <v>22</v>
      </c>
      <c r="I21" s="25" t="s">
        <v>12</v>
      </c>
      <c r="J21" s="93"/>
      <c r="K21" s="270" t="s">
        <v>18</v>
      </c>
      <c r="L21" s="270"/>
      <c r="M21" s="270"/>
      <c r="N21" s="61"/>
      <c r="O21" s="26"/>
      <c r="P21" s="25" t="s">
        <v>21</v>
      </c>
      <c r="R21" s="24" t="s">
        <v>384</v>
      </c>
      <c r="S21" s="54"/>
      <c r="T21" s="82"/>
      <c r="U21" s="69" t="s">
        <v>588</v>
      </c>
      <c r="V21" s="23" t="s">
        <v>7</v>
      </c>
      <c r="W21" s="23" t="s">
        <v>27</v>
      </c>
      <c r="X21" s="23" t="s">
        <v>28</v>
      </c>
      <c r="Y21" s="152"/>
      <c r="Z21" s="64"/>
      <c r="AA21" s="23" t="s">
        <v>27</v>
      </c>
      <c r="AB21" s="23" t="s">
        <v>28</v>
      </c>
      <c r="AC21" s="76"/>
      <c r="AD21" s="72" t="s">
        <v>588</v>
      </c>
      <c r="AE21" s="64"/>
      <c r="AF21" s="64"/>
      <c r="AG21" s="64"/>
      <c r="AH21" s="64"/>
      <c r="AI21" s="64"/>
      <c r="AJ21" s="64"/>
      <c r="AK21" s="64"/>
      <c r="AL21" s="23" t="s">
        <v>7</v>
      </c>
      <c r="AM21" s="64"/>
      <c r="AN21" s="64"/>
      <c r="AO21" s="23" t="s">
        <v>27</v>
      </c>
      <c r="AP21" s="23" t="s">
        <v>28</v>
      </c>
      <c r="AQ21" s="81"/>
      <c r="AR21" s="53"/>
      <c r="AS21" s="260"/>
      <c r="AT21" s="261"/>
      <c r="AU21" s="261"/>
      <c r="AV21" s="261"/>
      <c r="AW21" s="261"/>
      <c r="AX21" s="261"/>
      <c r="AY21" s="262"/>
      <c r="AZ21" s="54"/>
    </row>
    <row r="22" spans="1:52" ht="15.75" customHeight="1">
      <c r="A22" s="53"/>
      <c r="B22" s="245" t="s">
        <v>582</v>
      </c>
      <c r="C22" s="245"/>
      <c r="D22" s="245"/>
      <c r="E22" s="231">
        <f>E20*(1-E21)-(E21*((N22-E17)*4.2+2260))</f>
        <v>0</v>
      </c>
      <c r="F22" s="63"/>
      <c r="G22" s="27" t="s">
        <v>17</v>
      </c>
      <c r="I22" s="25" t="s">
        <v>507</v>
      </c>
      <c r="J22" s="93"/>
      <c r="K22" s="270" t="s">
        <v>583</v>
      </c>
      <c r="L22" s="270"/>
      <c r="M22" s="270"/>
      <c r="N22" s="210"/>
      <c r="O22" s="26"/>
      <c r="P22" s="25" t="s">
        <v>580</v>
      </c>
      <c r="R22" s="24" t="s">
        <v>513</v>
      </c>
      <c r="S22" s="54"/>
      <c r="T22" s="82"/>
      <c r="U22" s="27" t="s">
        <v>9</v>
      </c>
      <c r="V22" s="25" t="s">
        <v>21</v>
      </c>
      <c r="W22" s="99">
        <f>W7-AA7</f>
        <v>0</v>
      </c>
      <c r="X22" s="24" t="s">
        <v>484</v>
      </c>
      <c r="Y22" s="152"/>
      <c r="Z22" s="64"/>
      <c r="AA22" s="99">
        <f>AD7-AH7</f>
        <v>0</v>
      </c>
      <c r="AB22" s="24" t="s">
        <v>485</v>
      </c>
      <c r="AC22" s="76"/>
      <c r="AD22" s="73" t="s">
        <v>632</v>
      </c>
      <c r="AE22" s="64"/>
      <c r="AF22" s="64"/>
      <c r="AG22" s="64"/>
      <c r="AH22" s="64"/>
      <c r="AI22" s="64"/>
      <c r="AJ22" s="64"/>
      <c r="AK22" s="64"/>
      <c r="AL22" s="25" t="s">
        <v>21</v>
      </c>
      <c r="AM22" s="64"/>
      <c r="AN22" s="64"/>
      <c r="AO22" s="99">
        <f>IF(AO7=0,0,AK7-AO7)</f>
        <v>0</v>
      </c>
      <c r="AP22" s="24" t="s">
        <v>486</v>
      </c>
      <c r="AQ22" s="81"/>
      <c r="AR22" s="53"/>
      <c r="AS22" s="260"/>
      <c r="AT22" s="261"/>
      <c r="AU22" s="261"/>
      <c r="AV22" s="261"/>
      <c r="AW22" s="261"/>
      <c r="AX22" s="261"/>
      <c r="AY22" s="262"/>
      <c r="AZ22" s="54"/>
    </row>
    <row r="23" spans="1:52" ht="15.75" customHeight="1">
      <c r="A23" s="53"/>
      <c r="B23" s="71" t="s">
        <v>635</v>
      </c>
      <c r="D23" s="27"/>
      <c r="E23" s="243"/>
      <c r="F23" s="27"/>
      <c r="G23" s="27"/>
      <c r="J23" s="93"/>
      <c r="K23" s="71"/>
      <c r="L23" s="24"/>
      <c r="M23" s="24"/>
      <c r="N23" s="24"/>
      <c r="O23" s="24"/>
      <c r="P23" s="24"/>
      <c r="Q23" s="24"/>
      <c r="R23" s="24"/>
      <c r="S23" s="54"/>
      <c r="T23" s="82"/>
      <c r="U23" s="27" t="s">
        <v>584</v>
      </c>
      <c r="V23" s="25" t="s">
        <v>21</v>
      </c>
      <c r="W23" s="99">
        <f>IF(AA17=0,0,AA17-$N$21)</f>
        <v>0</v>
      </c>
      <c r="X23" s="24" t="s">
        <v>641</v>
      </c>
      <c r="Y23" s="152"/>
      <c r="Z23" s="64"/>
      <c r="AA23" s="99">
        <f>IF(AH17=0,0,AH17-$N$21)</f>
        <v>0</v>
      </c>
      <c r="AB23" s="24" t="s">
        <v>643</v>
      </c>
      <c r="AC23" s="76"/>
      <c r="AD23" s="73" t="s">
        <v>35</v>
      </c>
      <c r="AE23" s="64"/>
      <c r="AF23" s="64"/>
      <c r="AG23" s="64"/>
      <c r="AH23" s="64"/>
      <c r="AI23" s="64"/>
      <c r="AJ23" s="64"/>
      <c r="AK23" s="64"/>
      <c r="AL23" s="25" t="s">
        <v>21</v>
      </c>
      <c r="AM23" s="64"/>
      <c r="AN23" s="64"/>
      <c r="AO23" s="99">
        <f>IF(AO17=0,0,(AO17-$N$21)-W23)</f>
        <v>0</v>
      </c>
      <c r="AP23" s="24" t="s">
        <v>646</v>
      </c>
      <c r="AQ23" s="81"/>
      <c r="AR23" s="53"/>
      <c r="AS23" s="267"/>
      <c r="AT23" s="268"/>
      <c r="AU23" s="268"/>
      <c r="AV23" s="268"/>
      <c r="AW23" s="268"/>
      <c r="AX23" s="268"/>
      <c r="AY23" s="269"/>
      <c r="AZ23" s="54"/>
    </row>
    <row r="24" spans="1:52" ht="15.75" customHeight="1">
      <c r="A24" s="53"/>
      <c r="D24" s="243"/>
      <c r="E24" s="256"/>
      <c r="F24" s="27"/>
      <c r="G24" s="27"/>
      <c r="K24" s="71"/>
      <c r="L24" s="24"/>
      <c r="M24" s="24"/>
      <c r="N24" s="24"/>
      <c r="O24" s="24"/>
      <c r="P24" s="24"/>
      <c r="Q24" s="24"/>
      <c r="R24" s="24"/>
      <c r="S24" s="54"/>
      <c r="T24" s="82"/>
      <c r="U24" s="27" t="s">
        <v>5</v>
      </c>
      <c r="V24" s="25" t="s">
        <v>21</v>
      </c>
      <c r="W24" s="99">
        <f>W22*(1-1.12*$E$21)-1.5*W23</f>
        <v>0</v>
      </c>
      <c r="X24" s="24" t="s">
        <v>487</v>
      </c>
      <c r="Y24" s="152"/>
      <c r="Z24" s="64"/>
      <c r="AA24" s="99">
        <f>AA22*(1-1.12*$E$21)-1.5*AA23</f>
        <v>0</v>
      </c>
      <c r="AB24" s="24" t="s">
        <v>488</v>
      </c>
      <c r="AC24" s="76"/>
      <c r="AD24" s="73" t="s">
        <v>5</v>
      </c>
      <c r="AE24" s="64"/>
      <c r="AF24" s="64"/>
      <c r="AG24" s="64"/>
      <c r="AH24" s="64"/>
      <c r="AI24" s="64"/>
      <c r="AJ24" s="64"/>
      <c r="AK24" s="64"/>
      <c r="AL24" s="25" t="s">
        <v>21</v>
      </c>
      <c r="AM24" s="64"/>
      <c r="AN24" s="64"/>
      <c r="AO24" s="99">
        <f>AO22*(1-1.12*$E$21)-1.5*AO23</f>
        <v>0</v>
      </c>
      <c r="AP24" s="24" t="s">
        <v>489</v>
      </c>
      <c r="AQ24" s="81"/>
      <c r="AR24" s="53"/>
      <c r="AT24" s="28"/>
      <c r="AU24" s="28"/>
      <c r="AV24" s="28"/>
      <c r="AW24" s="28"/>
      <c r="AX24" s="28"/>
      <c r="AY24" s="28"/>
      <c r="AZ24" s="54"/>
    </row>
    <row r="25" spans="1:52" ht="15.75" customHeight="1">
      <c r="A25" s="53"/>
      <c r="B25" s="89" t="s">
        <v>593</v>
      </c>
      <c r="C25" s="40"/>
      <c r="D25" s="90"/>
      <c r="E25" s="274"/>
      <c r="F25" s="274"/>
      <c r="G25" s="274"/>
      <c r="H25" s="274"/>
      <c r="I25" s="274"/>
      <c r="J25" s="274"/>
      <c r="K25" s="274"/>
      <c r="L25" s="274"/>
      <c r="M25" s="274"/>
      <c r="N25" s="274"/>
      <c r="O25" s="274"/>
      <c r="P25" s="274"/>
      <c r="Q25" s="274"/>
      <c r="R25" s="252"/>
      <c r="S25" s="54"/>
      <c r="T25" s="82"/>
      <c r="U25" s="27" t="s">
        <v>565</v>
      </c>
      <c r="V25" s="25" t="s">
        <v>21</v>
      </c>
      <c r="W25" s="99">
        <f>SUM(W12:W15)-SUM(AA12:AA15)</f>
        <v>0</v>
      </c>
      <c r="X25" s="24" t="s">
        <v>490</v>
      </c>
      <c r="Y25" s="152"/>
      <c r="Z25" s="64"/>
      <c r="AA25" s="99">
        <f>SUM(AD12:AD15)-SUM(AH12:AH15)</f>
        <v>0</v>
      </c>
      <c r="AB25" s="24" t="s">
        <v>491</v>
      </c>
      <c r="AC25" s="76"/>
      <c r="AD25" s="73" t="s">
        <v>29</v>
      </c>
      <c r="AE25" s="64"/>
      <c r="AF25" s="64"/>
      <c r="AG25" s="64"/>
      <c r="AH25" s="64"/>
      <c r="AI25" s="64"/>
      <c r="AJ25" s="64"/>
      <c r="AK25" s="64"/>
      <c r="AL25" s="25" t="s">
        <v>21</v>
      </c>
      <c r="AM25" s="64"/>
      <c r="AN25" s="64"/>
      <c r="AO25" s="99">
        <f>AK12-AO12</f>
        <v>0</v>
      </c>
      <c r="AP25" s="24" t="s">
        <v>492</v>
      </c>
      <c r="AQ25" s="81"/>
      <c r="AR25" s="53"/>
      <c r="AS25" s="37" t="s">
        <v>596</v>
      </c>
      <c r="AT25" s="91"/>
      <c r="AU25" s="91"/>
      <c r="AV25" s="91"/>
      <c r="AW25" s="91"/>
      <c r="AX25" s="91"/>
      <c r="AY25" s="92"/>
      <c r="AZ25" s="54"/>
    </row>
    <row r="26" spans="1:52" ht="15.75" customHeight="1">
      <c r="A26" s="53"/>
      <c r="B26" s="264"/>
      <c r="C26" s="265"/>
      <c r="D26" s="265"/>
      <c r="E26" s="265"/>
      <c r="F26" s="265"/>
      <c r="G26" s="265"/>
      <c r="H26" s="265"/>
      <c r="I26" s="265"/>
      <c r="J26" s="265"/>
      <c r="K26" s="265"/>
      <c r="L26" s="265"/>
      <c r="M26" s="265"/>
      <c r="N26" s="265"/>
      <c r="O26" s="265"/>
      <c r="P26" s="265"/>
      <c r="Q26" s="265"/>
      <c r="R26" s="266"/>
      <c r="S26" s="54"/>
      <c r="T26" s="82"/>
      <c r="U26" s="27" t="s">
        <v>631</v>
      </c>
      <c r="V26" s="25" t="s">
        <v>21</v>
      </c>
      <c r="W26" s="99">
        <f>IF(W25=0,0,((AA12-$N17)*(AA8-W8)/($N$22-W8)+(AA13-$N18)*(AA9-W9)/($N$22-W9)+(AA14-$N19)*(AA10-W10)/($N$22-W10)+(AA15-$N20)*(AA11-W11)/($N$22-W11)))</f>
        <v>0</v>
      </c>
      <c r="X26" s="24" t="s">
        <v>493</v>
      </c>
      <c r="Y26" s="152"/>
      <c r="Z26" s="64"/>
      <c r="AA26" s="99">
        <f>IF(AA25=0,0,((AH12-$N17)*(AH8-AD8)/($N$22-AD8)+(AH13-$N18)*(AH9-AD9)/($N$22-AD9)+(AH14-$N19)*(AH10-AD10)/($N$22-AD10)+(AH15-$N20)*(AH11-AD11)/($N$22-AD11)))</f>
        <v>0</v>
      </c>
      <c r="AB26" s="24" t="s">
        <v>494</v>
      </c>
      <c r="AC26" s="76"/>
      <c r="AD26" s="73" t="s">
        <v>627</v>
      </c>
      <c r="AE26" s="64"/>
      <c r="AF26" s="64"/>
      <c r="AG26" s="64"/>
      <c r="AH26" s="64"/>
      <c r="AI26" s="64"/>
      <c r="AJ26" s="64"/>
      <c r="AK26" s="64"/>
      <c r="AL26" s="25" t="s">
        <v>21</v>
      </c>
      <c r="AM26" s="64"/>
      <c r="AN26" s="64"/>
      <c r="AO26" s="99">
        <f>IF(AO12=0,0,AO12-$N$17)</f>
        <v>0</v>
      </c>
      <c r="AP26" s="24" t="s">
        <v>495</v>
      </c>
      <c r="AQ26" s="81"/>
      <c r="AR26" s="53"/>
      <c r="AS26" s="257"/>
      <c r="AT26" s="258"/>
      <c r="AU26" s="258"/>
      <c r="AV26" s="258"/>
      <c r="AW26" s="258"/>
      <c r="AX26" s="258"/>
      <c r="AY26" s="259"/>
      <c r="AZ26" s="54"/>
    </row>
    <row r="27" spans="1:52" ht="15.75" customHeight="1">
      <c r="A27" s="53"/>
      <c r="B27" s="264"/>
      <c r="C27" s="265"/>
      <c r="D27" s="265"/>
      <c r="E27" s="265"/>
      <c r="F27" s="265"/>
      <c r="G27" s="265"/>
      <c r="H27" s="265"/>
      <c r="I27" s="265"/>
      <c r="J27" s="265"/>
      <c r="K27" s="265"/>
      <c r="L27" s="265"/>
      <c r="M27" s="265"/>
      <c r="N27" s="265"/>
      <c r="O27" s="265"/>
      <c r="P27" s="265"/>
      <c r="Q27" s="265"/>
      <c r="R27" s="266"/>
      <c r="S27" s="54"/>
      <c r="T27" s="82"/>
      <c r="U27" s="27" t="s">
        <v>566</v>
      </c>
      <c r="V27" s="25" t="s">
        <v>25</v>
      </c>
      <c r="W27" s="99">
        <f>(AA6-W6)*1400</f>
        <v>0</v>
      </c>
      <c r="X27" s="24" t="s">
        <v>642</v>
      </c>
      <c r="Y27" s="152"/>
      <c r="Z27" s="64"/>
      <c r="AA27" s="99">
        <f>(AH6-AD6)*1400</f>
        <v>0</v>
      </c>
      <c r="AB27" s="24" t="s">
        <v>644</v>
      </c>
      <c r="AC27" s="76"/>
      <c r="AD27" s="73" t="s">
        <v>568</v>
      </c>
      <c r="AE27" s="64"/>
      <c r="AF27" s="64"/>
      <c r="AG27" s="64"/>
      <c r="AH27" s="64"/>
      <c r="AI27" s="64"/>
      <c r="AJ27" s="64"/>
      <c r="AK27" s="64"/>
      <c r="AL27" s="25" t="s">
        <v>25</v>
      </c>
      <c r="AM27" s="64"/>
      <c r="AN27" s="64"/>
      <c r="AO27" s="99">
        <f>(AO6-AK6)*1400</f>
        <v>0</v>
      </c>
      <c r="AP27" s="24" t="s">
        <v>645</v>
      </c>
      <c r="AQ27" s="81"/>
      <c r="AR27" s="53"/>
      <c r="AS27" s="257"/>
      <c r="AT27" s="258"/>
      <c r="AU27" s="258"/>
      <c r="AV27" s="258"/>
      <c r="AW27" s="258"/>
      <c r="AX27" s="258"/>
      <c r="AY27" s="259"/>
      <c r="AZ27" s="54"/>
    </row>
    <row r="28" spans="1:52" ht="15.75" customHeight="1">
      <c r="A28" s="53"/>
      <c r="B28" s="226"/>
      <c r="C28" s="227"/>
      <c r="D28" s="227"/>
      <c r="E28" s="227"/>
      <c r="F28" s="227"/>
      <c r="G28" s="227"/>
      <c r="H28" s="227"/>
      <c r="I28" s="227"/>
      <c r="J28" s="227"/>
      <c r="K28" s="227"/>
      <c r="L28" s="227"/>
      <c r="M28" s="227"/>
      <c r="N28" s="227"/>
      <c r="O28" s="227"/>
      <c r="P28" s="227"/>
      <c r="Q28" s="227"/>
      <c r="R28" s="228"/>
      <c r="S28" s="54"/>
      <c r="T28" s="82"/>
      <c r="U28" s="27" t="s">
        <v>675</v>
      </c>
      <c r="V28" s="25" t="s">
        <v>25</v>
      </c>
      <c r="W28" s="99">
        <f>IF(N22=0,0,W27*75/(N22-W8))</f>
        <v>0</v>
      </c>
      <c r="X28" s="24" t="s">
        <v>676</v>
      </c>
      <c r="Y28" s="152"/>
      <c r="Z28" s="64"/>
      <c r="AA28" s="99">
        <f>IF(N22=0,0,AA27*75/(N22-AD8))</f>
        <v>0</v>
      </c>
      <c r="AB28" s="24" t="s">
        <v>677</v>
      </c>
      <c r="AC28" s="76"/>
      <c r="AD28" s="73" t="s">
        <v>33</v>
      </c>
      <c r="AE28" s="64"/>
      <c r="AF28" s="64"/>
      <c r="AG28" s="64"/>
      <c r="AH28" s="64"/>
      <c r="AI28" s="64"/>
      <c r="AJ28" s="64"/>
      <c r="AK28" s="64"/>
      <c r="AL28" s="25" t="s">
        <v>22</v>
      </c>
      <c r="AM28" s="64"/>
      <c r="AN28" s="64"/>
      <c r="AO28" s="238">
        <f>IF(AO24=0,0,(4.186*((AK12-$N17+AO26)/2)*(AO8-AK8)+2260*AO25)/(AO24*$E$20))</f>
        <v>0</v>
      </c>
      <c r="AP28" s="24" t="s">
        <v>498</v>
      </c>
      <c r="AQ28" s="81"/>
      <c r="AR28" s="53"/>
      <c r="AS28" s="94"/>
      <c r="AT28" s="56"/>
      <c r="AU28" s="56"/>
      <c r="AV28" s="56"/>
      <c r="AW28" s="56"/>
      <c r="AX28" s="56"/>
      <c r="AY28" s="95"/>
      <c r="AZ28" s="54"/>
    </row>
    <row r="29" spans="1:52" ht="15.75" customHeight="1">
      <c r="A29" s="53"/>
      <c r="B29" s="264"/>
      <c r="C29" s="265"/>
      <c r="D29" s="265"/>
      <c r="E29" s="265"/>
      <c r="F29" s="265"/>
      <c r="G29" s="265"/>
      <c r="H29" s="265"/>
      <c r="I29" s="265"/>
      <c r="J29" s="265"/>
      <c r="K29" s="265"/>
      <c r="L29" s="265"/>
      <c r="M29" s="265"/>
      <c r="N29" s="265"/>
      <c r="O29" s="265"/>
      <c r="P29" s="265"/>
      <c r="Q29" s="265"/>
      <c r="R29" s="266"/>
      <c r="S29" s="54"/>
      <c r="T29" s="82"/>
      <c r="U29" s="27" t="s">
        <v>33</v>
      </c>
      <c r="V29" s="25" t="s">
        <v>22</v>
      </c>
      <c r="W29" s="238">
        <f>IF(W24=0,0,(4.186*SUM((W12-$N17)*(AA8-W8),(W13-$N18)*(AA9-W9),(W14-$N19)*(AA10-W10),(W15-$N20)*(AA11-W11))+2260*W25)/(W24*$E20))</f>
        <v>0</v>
      </c>
      <c r="X29" s="24" t="s">
        <v>496</v>
      </c>
      <c r="Y29" s="152"/>
      <c r="Z29" s="64"/>
      <c r="AA29" s="238">
        <f>IF(AA24=0,0,(4.186*SUM((AD12-$N17)*(AH8-AD8),(AD13-$N18)*(AH9-AD9),(AD14-$N19)*(AH10-AD10),(AD15-$N20)*(AH11-AD11))+2260*AA25)/(AA24*$E20))</f>
        <v>0</v>
      </c>
      <c r="AB29" s="24" t="s">
        <v>497</v>
      </c>
      <c r="AC29" s="76"/>
      <c r="AD29" s="73" t="s">
        <v>6</v>
      </c>
      <c r="AE29" s="64"/>
      <c r="AF29" s="64"/>
      <c r="AG29" s="64"/>
      <c r="AH29" s="64"/>
      <c r="AI29" s="64"/>
      <c r="AJ29" s="64"/>
      <c r="AK29" s="64"/>
      <c r="AL29" s="25" t="s">
        <v>499</v>
      </c>
      <c r="AM29" s="64"/>
      <c r="AN29" s="64"/>
      <c r="AO29" s="99">
        <f>IF(AO27=0,0,AO24/AO27)</f>
        <v>0</v>
      </c>
      <c r="AP29" s="24" t="s">
        <v>502</v>
      </c>
      <c r="AQ29" s="81"/>
      <c r="AR29" s="53"/>
      <c r="AS29" s="94"/>
      <c r="AT29" s="56"/>
      <c r="AU29" s="56"/>
      <c r="AV29" s="56"/>
      <c r="AW29" s="56"/>
      <c r="AX29" s="56"/>
      <c r="AY29" s="95"/>
      <c r="AZ29" s="54"/>
    </row>
    <row r="30" spans="1:52" ht="15.75" customHeight="1">
      <c r="A30" s="53"/>
      <c r="B30" s="264"/>
      <c r="C30" s="265"/>
      <c r="D30" s="265"/>
      <c r="E30" s="265"/>
      <c r="F30" s="265"/>
      <c r="G30" s="265"/>
      <c r="H30" s="265"/>
      <c r="I30" s="265"/>
      <c r="J30" s="265"/>
      <c r="K30" s="265"/>
      <c r="L30" s="265"/>
      <c r="M30" s="265"/>
      <c r="N30" s="265"/>
      <c r="O30" s="265"/>
      <c r="P30" s="265"/>
      <c r="Q30" s="265"/>
      <c r="R30" s="266"/>
      <c r="S30" s="54"/>
      <c r="T30" s="82"/>
      <c r="U30" s="27" t="s">
        <v>6</v>
      </c>
      <c r="V30" s="25" t="s">
        <v>499</v>
      </c>
      <c r="W30" s="99">
        <f>IF(W27=0,0,W24/W27)</f>
        <v>0</v>
      </c>
      <c r="X30" s="25" t="s">
        <v>500</v>
      </c>
      <c r="Y30" s="152"/>
      <c r="Z30" s="64"/>
      <c r="AA30" s="99">
        <f>IF(AA27=0,0,AA24/AA27)</f>
        <v>0</v>
      </c>
      <c r="AB30" s="24" t="s">
        <v>501</v>
      </c>
      <c r="AC30" s="76"/>
      <c r="AD30" s="73" t="s">
        <v>8</v>
      </c>
      <c r="AE30" s="64"/>
      <c r="AF30" s="64"/>
      <c r="AG30" s="64"/>
      <c r="AH30" s="64"/>
      <c r="AI30" s="64"/>
      <c r="AJ30" s="64"/>
      <c r="AK30" s="64"/>
      <c r="AL30" s="25" t="s">
        <v>503</v>
      </c>
      <c r="AM30" s="64"/>
      <c r="AN30" s="64"/>
      <c r="AO30" s="99">
        <f>IF(AO26=0,0,AO24/AO26*1000)</f>
        <v>0</v>
      </c>
      <c r="AP30" s="24" t="s">
        <v>506</v>
      </c>
      <c r="AQ30" s="81"/>
      <c r="AR30" s="53"/>
      <c r="AS30" s="260"/>
      <c r="AT30" s="261"/>
      <c r="AU30" s="261"/>
      <c r="AV30" s="261"/>
      <c r="AW30" s="261"/>
      <c r="AX30" s="261"/>
      <c r="AY30" s="262"/>
      <c r="AZ30" s="54"/>
    </row>
    <row r="31" spans="1:52" ht="15.75" customHeight="1">
      <c r="A31" s="53"/>
      <c r="B31" s="264"/>
      <c r="C31" s="265"/>
      <c r="D31" s="265"/>
      <c r="E31" s="265"/>
      <c r="F31" s="265"/>
      <c r="G31" s="265"/>
      <c r="H31" s="265"/>
      <c r="I31" s="265"/>
      <c r="J31" s="265"/>
      <c r="K31" s="265"/>
      <c r="L31" s="265"/>
      <c r="M31" s="265"/>
      <c r="N31" s="265"/>
      <c r="O31" s="265"/>
      <c r="P31" s="265"/>
      <c r="Q31" s="265"/>
      <c r="R31" s="266"/>
      <c r="S31" s="54"/>
      <c r="T31" s="82"/>
      <c r="U31" s="27" t="s">
        <v>8</v>
      </c>
      <c r="V31" s="25" t="s">
        <v>503</v>
      </c>
      <c r="W31" s="99">
        <f>IF(W26=0,0,1000*W24/(SUM(W26:W26)))</f>
        <v>0</v>
      </c>
      <c r="X31" s="24" t="s">
        <v>504</v>
      </c>
      <c r="Y31" s="152"/>
      <c r="Z31" s="64"/>
      <c r="AA31" s="99">
        <f>IF(AA26=0,0,1000*AA24/(SUM(AA26:AA26)))</f>
        <v>0</v>
      </c>
      <c r="AB31" s="24" t="s">
        <v>505</v>
      </c>
      <c r="AC31" s="76"/>
      <c r="AD31" s="73" t="s">
        <v>10</v>
      </c>
      <c r="AE31" s="64"/>
      <c r="AF31" s="64"/>
      <c r="AG31" s="64"/>
      <c r="AH31" s="64"/>
      <c r="AI31" s="64"/>
      <c r="AJ31" s="64"/>
      <c r="AK31" s="64"/>
      <c r="AL31" s="25" t="s">
        <v>11</v>
      </c>
      <c r="AM31" s="64"/>
      <c r="AN31" s="64"/>
      <c r="AO31" s="99">
        <f>IF(AO27=0,0,AO24*$E$20/(AO27*60))</f>
        <v>0</v>
      </c>
      <c r="AP31" s="24" t="s">
        <v>510</v>
      </c>
      <c r="AQ31" s="81"/>
      <c r="AR31" s="53"/>
      <c r="AS31" s="260"/>
      <c r="AT31" s="261"/>
      <c r="AU31" s="261"/>
      <c r="AV31" s="261"/>
      <c r="AW31" s="261"/>
      <c r="AX31" s="261"/>
      <c r="AY31" s="262"/>
      <c r="AZ31" s="54"/>
    </row>
    <row r="32" spans="1:52" ht="15.75" customHeight="1">
      <c r="A32" s="53"/>
      <c r="B32" s="264"/>
      <c r="C32" s="265"/>
      <c r="D32" s="265"/>
      <c r="E32" s="265"/>
      <c r="F32" s="265"/>
      <c r="G32" s="265"/>
      <c r="H32" s="265"/>
      <c r="I32" s="265"/>
      <c r="J32" s="265"/>
      <c r="K32" s="265"/>
      <c r="L32" s="265"/>
      <c r="M32" s="265"/>
      <c r="N32" s="265"/>
      <c r="O32" s="265"/>
      <c r="P32" s="265"/>
      <c r="Q32" s="265"/>
      <c r="R32" s="266"/>
      <c r="S32" s="54"/>
      <c r="T32" s="82"/>
      <c r="U32" s="27" t="s">
        <v>623</v>
      </c>
      <c r="V32" s="25" t="s">
        <v>503</v>
      </c>
      <c r="W32" s="99">
        <f>IF(W26=0,0,W31*75/($N$22-W8))</f>
        <v>0</v>
      </c>
      <c r="X32" s="24" t="s">
        <v>508</v>
      </c>
      <c r="Y32" s="152"/>
      <c r="Z32" s="64"/>
      <c r="AA32" s="99">
        <f>IF(AA26=0,0,AA31*75/($N$22-AD8))</f>
        <v>0</v>
      </c>
      <c r="AB32" s="24" t="s">
        <v>509</v>
      </c>
      <c r="AC32" s="76"/>
      <c r="AD32" s="73" t="s">
        <v>34</v>
      </c>
      <c r="AE32" s="64"/>
      <c r="AF32" s="64"/>
      <c r="AG32" s="64"/>
      <c r="AH32" s="64"/>
      <c r="AI32" s="64"/>
      <c r="AJ32" s="64"/>
      <c r="AK32" s="64"/>
      <c r="AL32" s="67" t="s">
        <v>16</v>
      </c>
      <c r="AM32" s="64"/>
      <c r="AN32" s="64"/>
      <c r="AO32" s="100">
        <f>IF(AO31=0,0,W33/AO31)</f>
        <v>0</v>
      </c>
      <c r="AP32" s="25" t="s">
        <v>385</v>
      </c>
      <c r="AQ32" s="81"/>
      <c r="AR32" s="53"/>
      <c r="AS32" s="260"/>
      <c r="AT32" s="261"/>
      <c r="AU32" s="261"/>
      <c r="AV32" s="261"/>
      <c r="AW32" s="261"/>
      <c r="AX32" s="261"/>
      <c r="AY32" s="262"/>
      <c r="AZ32" s="54"/>
    </row>
    <row r="33" spans="1:52" ht="15.75" customHeight="1">
      <c r="A33" s="53"/>
      <c r="B33" s="264"/>
      <c r="C33" s="265"/>
      <c r="D33" s="265"/>
      <c r="E33" s="265"/>
      <c r="F33" s="265"/>
      <c r="G33" s="265"/>
      <c r="H33" s="265"/>
      <c r="I33" s="265"/>
      <c r="J33" s="265"/>
      <c r="K33" s="265"/>
      <c r="L33" s="265"/>
      <c r="M33" s="265"/>
      <c r="N33" s="265"/>
      <c r="O33" s="265"/>
      <c r="P33" s="265"/>
      <c r="Q33" s="265"/>
      <c r="R33" s="266"/>
      <c r="S33" s="54"/>
      <c r="T33" s="82"/>
      <c r="U33" s="27" t="s">
        <v>10</v>
      </c>
      <c r="V33" s="25" t="s">
        <v>11</v>
      </c>
      <c r="W33" s="99">
        <f>IF(W27=0,0,W24*$E$20/(W27*60))</f>
        <v>0</v>
      </c>
      <c r="X33" s="24" t="s">
        <v>511</v>
      </c>
      <c r="Y33" s="152"/>
      <c r="Z33" s="64"/>
      <c r="AA33" s="99">
        <f>IF(AA27=0,0,AA24*$E$20/(AA27*60))</f>
        <v>0</v>
      </c>
      <c r="AB33" s="24" t="s">
        <v>512</v>
      </c>
      <c r="AC33" s="76"/>
      <c r="AQ33" s="81"/>
      <c r="AR33" s="53"/>
      <c r="AS33" s="260"/>
      <c r="AT33" s="261"/>
      <c r="AU33" s="261"/>
      <c r="AV33" s="261"/>
      <c r="AW33" s="261"/>
      <c r="AX33" s="261"/>
      <c r="AY33" s="262"/>
      <c r="AZ33" s="54"/>
    </row>
    <row r="34" spans="1:52" ht="15.75" customHeight="1" thickBot="1">
      <c r="A34" s="53"/>
      <c r="B34" s="271"/>
      <c r="C34" s="272"/>
      <c r="D34" s="272"/>
      <c r="E34" s="272"/>
      <c r="F34" s="272"/>
      <c r="G34" s="272"/>
      <c r="H34" s="272"/>
      <c r="I34" s="272"/>
      <c r="J34" s="272"/>
      <c r="K34" s="272"/>
      <c r="L34" s="272"/>
      <c r="M34" s="272"/>
      <c r="N34" s="272"/>
      <c r="O34" s="272"/>
      <c r="P34" s="272"/>
      <c r="Q34" s="272"/>
      <c r="R34" s="273"/>
      <c r="S34" s="54"/>
      <c r="T34" s="82"/>
      <c r="U34" s="77"/>
      <c r="V34" s="77"/>
      <c r="W34" s="77"/>
      <c r="X34" s="77"/>
      <c r="Y34" s="151"/>
      <c r="Z34" s="77"/>
      <c r="AA34" s="77"/>
      <c r="AB34" s="77"/>
      <c r="AC34" s="101"/>
      <c r="AD34" s="77"/>
      <c r="AE34" s="77"/>
      <c r="AF34" s="77"/>
      <c r="AG34" s="77"/>
      <c r="AH34" s="77"/>
      <c r="AI34" s="77"/>
      <c r="AJ34" s="77"/>
      <c r="AK34" s="77"/>
      <c r="AL34" s="77"/>
      <c r="AM34" s="77"/>
      <c r="AN34" s="77"/>
      <c r="AO34" s="77"/>
      <c r="AP34" s="77"/>
      <c r="AQ34" s="81"/>
      <c r="AR34" s="53"/>
      <c r="AS34" s="267"/>
      <c r="AT34" s="268"/>
      <c r="AU34" s="268"/>
      <c r="AV34" s="268"/>
      <c r="AW34" s="268"/>
      <c r="AX34" s="268"/>
      <c r="AY34" s="269"/>
      <c r="AZ34" s="54"/>
    </row>
    <row r="35" spans="1:52" ht="13.5" thickBot="1">
      <c r="A35" s="65"/>
      <c r="B35" s="41" t="s">
        <v>600</v>
      </c>
      <c r="C35" s="41"/>
      <c r="D35" s="41"/>
      <c r="E35" s="41"/>
      <c r="F35" s="41"/>
      <c r="G35" s="41"/>
      <c r="H35" s="41"/>
      <c r="I35" s="41"/>
      <c r="J35" s="42"/>
      <c r="K35" s="42"/>
      <c r="L35" s="42"/>
      <c r="M35" s="42"/>
      <c r="N35" s="42"/>
      <c r="O35" s="42"/>
      <c r="P35" s="42"/>
      <c r="Q35" s="42"/>
      <c r="R35" s="42"/>
      <c r="S35" s="66"/>
      <c r="T35" s="83"/>
      <c r="U35" s="41" t="s">
        <v>601</v>
      </c>
      <c r="V35" s="84"/>
      <c r="W35" s="84"/>
      <c r="X35" s="85"/>
      <c r="Y35" s="85"/>
      <c r="Z35" s="85"/>
      <c r="AA35" s="86"/>
      <c r="AB35" s="87"/>
      <c r="AC35" s="84"/>
      <c r="AD35" s="84"/>
      <c r="AE35" s="84"/>
      <c r="AF35" s="84"/>
      <c r="AG35" s="84"/>
      <c r="AH35" s="84"/>
      <c r="AI35" s="84"/>
      <c r="AJ35" s="84"/>
      <c r="AK35" s="84"/>
      <c r="AL35" s="84"/>
      <c r="AM35" s="84"/>
      <c r="AN35" s="84"/>
      <c r="AO35" s="84"/>
      <c r="AP35" s="84"/>
      <c r="AQ35" s="88"/>
      <c r="AR35" s="65"/>
      <c r="AS35" s="277" t="s">
        <v>602</v>
      </c>
      <c r="AT35" s="277"/>
      <c r="AU35" s="277"/>
      <c r="AV35" s="277"/>
      <c r="AW35" s="277"/>
      <c r="AX35" s="277"/>
      <c r="AY35" s="277"/>
      <c r="AZ35" s="66"/>
    </row>
    <row r="36" spans="19:51" ht="14.25" customHeight="1" thickTop="1">
      <c r="S36" s="48"/>
      <c r="AS36" s="28"/>
      <c r="AT36" s="28"/>
      <c r="AU36" s="28"/>
      <c r="AV36" s="28"/>
      <c r="AW36" s="28"/>
      <c r="AX36" s="28"/>
      <c r="AY36" s="28"/>
    </row>
    <row r="37" ht="14.25" customHeight="1">
      <c r="AW37" s="31" t="s">
        <v>567</v>
      </c>
    </row>
    <row r="38" spans="45:51" ht="12.75">
      <c r="AS38" s="30"/>
      <c r="AT38" s="26"/>
      <c r="AU38" s="27"/>
      <c r="AW38" s="31"/>
      <c r="AX38" s="27"/>
      <c r="AY38" s="27"/>
    </row>
    <row r="39" spans="45:51" ht="18" customHeight="1">
      <c r="AS39" s="22"/>
      <c r="AT39" s="26"/>
      <c r="AU39" s="27"/>
      <c r="AW39" s="31"/>
      <c r="AX39" s="27"/>
      <c r="AY39" s="27"/>
    </row>
    <row r="40" spans="45:51" ht="27.75" customHeight="1">
      <c r="AS40" s="27"/>
      <c r="AT40" s="26"/>
      <c r="AU40" s="27"/>
      <c r="AW40" s="31"/>
      <c r="AX40" s="27"/>
      <c r="AY40" s="27"/>
    </row>
    <row r="41" ht="27.75" customHeight="1">
      <c r="AW41" s="31"/>
    </row>
    <row r="42" spans="4:49" ht="27.75" customHeight="1">
      <c r="D42">
        <v>46.61</v>
      </c>
      <c r="AW42" s="31"/>
    </row>
    <row r="43" spans="4:49" ht="27.75" customHeight="1">
      <c r="D43">
        <v>50.15</v>
      </c>
      <c r="AW43" s="31"/>
    </row>
    <row r="44" spans="4:49" ht="27.75" customHeight="1">
      <c r="D44" s="29">
        <f>D43-D42</f>
        <v>3.539999999999999</v>
      </c>
      <c r="AW44" s="31"/>
    </row>
    <row r="45" ht="27.75" customHeight="1">
      <c r="D45" s="29">
        <f>D44/D43</f>
        <v>0.07058823529411763</v>
      </c>
    </row>
    <row r="46" spans="3:18" ht="27.75" customHeight="1">
      <c r="C46" s="29"/>
      <c r="H46" s="29"/>
      <c r="I46" s="29"/>
      <c r="J46" s="29"/>
      <c r="K46" s="29"/>
      <c r="L46" s="29"/>
      <c r="M46" s="29"/>
      <c r="N46" s="29"/>
      <c r="O46" s="29"/>
      <c r="P46" s="29"/>
      <c r="Q46" s="29"/>
      <c r="R46" s="29"/>
    </row>
    <row r="47" spans="3:18" ht="27.75" customHeight="1">
      <c r="C47" s="29"/>
      <c r="H47" s="29"/>
      <c r="I47" s="29"/>
      <c r="J47" s="29"/>
      <c r="K47" s="29"/>
      <c r="L47" s="29"/>
      <c r="M47" s="29"/>
      <c r="N47" s="29"/>
      <c r="O47" s="29"/>
      <c r="P47" s="29"/>
      <c r="Q47" s="29"/>
      <c r="R47" s="29"/>
    </row>
    <row r="48" spans="3:18" ht="27.75" customHeight="1">
      <c r="C48" s="29"/>
      <c r="H48" s="29"/>
      <c r="I48" s="29"/>
      <c r="J48" s="29"/>
      <c r="K48" s="29"/>
      <c r="L48" s="29"/>
      <c r="M48" s="29"/>
      <c r="N48" s="29"/>
      <c r="O48" s="29"/>
      <c r="P48" s="29"/>
      <c r="Q48" s="29"/>
      <c r="R48" s="29"/>
    </row>
    <row r="49" spans="3:18" ht="27.75" customHeight="1">
      <c r="C49" s="29"/>
      <c r="H49" s="29"/>
      <c r="I49" s="29"/>
      <c r="J49" s="29"/>
      <c r="K49" s="29"/>
      <c r="L49" s="29"/>
      <c r="M49" s="29"/>
      <c r="N49" s="29"/>
      <c r="O49" s="29"/>
      <c r="P49" s="29"/>
      <c r="Q49" s="29"/>
      <c r="R49" s="29"/>
    </row>
    <row r="50" spans="4:7" ht="27.75" customHeight="1">
      <c r="D50" s="26"/>
      <c r="E50" s="68"/>
      <c r="F50" s="27"/>
      <c r="G50" s="27"/>
    </row>
    <row r="51" spans="2:18" ht="27.75" customHeight="1">
      <c r="B51" s="30"/>
      <c r="C51" s="29"/>
      <c r="D51" s="26"/>
      <c r="E51" s="27"/>
      <c r="H51" s="29"/>
      <c r="I51" s="29"/>
      <c r="J51" s="29"/>
      <c r="K51" s="29"/>
      <c r="L51" s="29"/>
      <c r="M51" s="29"/>
      <c r="N51" s="29"/>
      <c r="O51" s="29"/>
      <c r="P51" s="29"/>
      <c r="Q51" s="29"/>
      <c r="R51" s="29"/>
    </row>
  </sheetData>
  <sheetProtection formatCells="0"/>
  <mergeCells count="72">
    <mergeCell ref="AS18:AY18"/>
    <mergeCell ref="AS5:AY5"/>
    <mergeCell ref="M6:R9"/>
    <mergeCell ref="AS15:AY15"/>
    <mergeCell ref="AS10:AY10"/>
    <mergeCell ref="AS11:AY11"/>
    <mergeCell ref="AS12:AY12"/>
    <mergeCell ref="AK2:AP2"/>
    <mergeCell ref="W3:X3"/>
    <mergeCell ref="AA3:AB3"/>
    <mergeCell ref="AD3:AE3"/>
    <mergeCell ref="AH3:AI3"/>
    <mergeCell ref="AK3:AL3"/>
    <mergeCell ref="AO3:AP3"/>
    <mergeCell ref="W2:AB2"/>
    <mergeCell ref="AD2:AI2"/>
    <mergeCell ref="AS19:AY19"/>
    <mergeCell ref="AS20:AY20"/>
    <mergeCell ref="K20:M20"/>
    <mergeCell ref="AS35:AY35"/>
    <mergeCell ref="AS21:AY21"/>
    <mergeCell ref="AS22:AY22"/>
    <mergeCell ref="AS23:AY23"/>
    <mergeCell ref="AS26:AY26"/>
    <mergeCell ref="AS27:AY27"/>
    <mergeCell ref="B32:R32"/>
    <mergeCell ref="D12:I12"/>
    <mergeCell ref="D13:I13"/>
    <mergeCell ref="AA4:AB4"/>
    <mergeCell ref="AH4:AI4"/>
    <mergeCell ref="D8:K8"/>
    <mergeCell ref="D9:K9"/>
    <mergeCell ref="D10:K10"/>
    <mergeCell ref="D11:K11"/>
    <mergeCell ref="D6:K6"/>
    <mergeCell ref="D7:K7"/>
    <mergeCell ref="AK4:AL4"/>
    <mergeCell ref="AO4:AP4"/>
    <mergeCell ref="W16:X16"/>
    <mergeCell ref="AD16:AE16"/>
    <mergeCell ref="AK16:AL16"/>
    <mergeCell ref="A2:S2"/>
    <mergeCell ref="K22:M22"/>
    <mergeCell ref="K21:M21"/>
    <mergeCell ref="K17:M17"/>
    <mergeCell ref="B22:D22"/>
    <mergeCell ref="B21:D21"/>
    <mergeCell ref="B20:D20"/>
    <mergeCell ref="B19:D19"/>
    <mergeCell ref="B18:D18"/>
    <mergeCell ref="K18:M18"/>
    <mergeCell ref="B17:D17"/>
    <mergeCell ref="B33:R33"/>
    <mergeCell ref="B34:R34"/>
    <mergeCell ref="K19:M19"/>
    <mergeCell ref="E25:R25"/>
    <mergeCell ref="B27:R27"/>
    <mergeCell ref="B29:R29"/>
    <mergeCell ref="B16:D16"/>
    <mergeCell ref="B26:R26"/>
    <mergeCell ref="AS34:AY34"/>
    <mergeCell ref="AS33:AY33"/>
    <mergeCell ref="AS32:AY32"/>
    <mergeCell ref="AS31:AY31"/>
    <mergeCell ref="AS30:AY30"/>
    <mergeCell ref="B30:R30"/>
    <mergeCell ref="B31:R31"/>
    <mergeCell ref="AS16:AY16"/>
    <mergeCell ref="AS4:AY4"/>
    <mergeCell ref="AS6:AY6"/>
    <mergeCell ref="AS8:AY8"/>
    <mergeCell ref="AS9:AY9"/>
  </mergeCells>
  <printOptions/>
  <pageMargins left="0.75" right="0.75" top="0.75" bottom="0.75" header="0.5" footer="0.5"/>
  <pageSetup horizontalDpi="1200" verticalDpi="1200" orientation="landscape" scale="90" r:id="rId4"/>
  <headerFooter alignWithMargins="0">
    <oddFooter>&amp;L&amp;F&amp;C&amp;A&amp;RPage &amp;P</oddFooter>
  </headerFooter>
  <colBreaks count="4" manualBreakCount="4">
    <brk id="19" max="33" man="1"/>
    <brk id="43" max="33" man="1"/>
    <brk id="52" min="1" max="29" man="1"/>
    <brk id="61" min="1" max="29" man="1"/>
  </colBreaks>
  <drawing r:id="rId3"/>
  <legacyDrawing r:id="rId2"/>
</worksheet>
</file>

<file path=xl/worksheets/sheet2.xml><?xml version="1.0" encoding="utf-8"?>
<worksheet xmlns="http://schemas.openxmlformats.org/spreadsheetml/2006/main" xmlns:r="http://schemas.openxmlformats.org/officeDocument/2006/relationships">
  <dimension ref="A1:ED51"/>
  <sheetViews>
    <sheetView showGridLines="0" showZeros="0" view="pageBreakPreview" zoomScaleNormal="70" zoomScaleSheetLayoutView="100" workbookViewId="0" topLeftCell="A1">
      <selection activeCell="E20" sqref="E20"/>
    </sheetView>
  </sheetViews>
  <sheetFormatPr defaultColWidth="9.140625" defaultRowHeight="27.75" customHeight="1"/>
  <cols>
    <col min="1" max="1" width="1.7109375" style="29" customWidth="1"/>
    <col min="2" max="2" width="14.57421875" style="29" customWidth="1"/>
    <col min="3" max="3" width="6.57421875" style="27" customWidth="1"/>
    <col min="4" max="4" width="12.7109375" style="29" customWidth="1"/>
    <col min="5" max="5" width="7.7109375" style="29" customWidth="1"/>
    <col min="6" max="6" width="2.00390625" style="29" customWidth="1"/>
    <col min="7" max="7" width="5.28125" style="29" customWidth="1"/>
    <col min="8" max="8" width="2.00390625" style="27" customWidth="1"/>
    <col min="9" max="9" width="7.28125" style="27" customWidth="1"/>
    <col min="10" max="10" width="1.7109375" style="27" customWidth="1"/>
    <col min="11" max="11" width="14.421875" style="27" customWidth="1"/>
    <col min="12" max="12" width="5.7109375" style="27" customWidth="1"/>
    <col min="13" max="13" width="14.57421875" style="27" customWidth="1"/>
    <col min="14" max="14" width="7.7109375" style="27" customWidth="1"/>
    <col min="15" max="15" width="2.00390625" style="27" customWidth="1"/>
    <col min="16" max="16" width="5.28125" style="27" customWidth="1"/>
    <col min="17" max="17" width="2.00390625" style="27" customWidth="1"/>
    <col min="18" max="18" width="7.28125" style="27" customWidth="1"/>
    <col min="19" max="19" width="1.7109375" style="29" customWidth="1"/>
    <col min="20" max="20" width="1.7109375" style="47" customWidth="1"/>
    <col min="21" max="21" width="25.421875" style="47" customWidth="1"/>
    <col min="22" max="22" width="5.421875" style="47" customWidth="1"/>
    <col min="23" max="23" width="8.7109375" style="47" customWidth="1"/>
    <col min="24" max="24" width="5.00390625" style="47" customWidth="1"/>
    <col min="25" max="26" width="0.85546875" style="47" customWidth="1"/>
    <col min="27" max="27" width="8.7109375" style="47" customWidth="1"/>
    <col min="28" max="28" width="5.00390625" style="47" customWidth="1"/>
    <col min="29" max="29" width="0.85546875" style="47" customWidth="1"/>
    <col min="30" max="30" width="8.140625" style="47" customWidth="1"/>
    <col min="31" max="31" width="4.7109375" style="47" customWidth="1"/>
    <col min="32" max="33" width="0.85546875" style="47" customWidth="1"/>
    <col min="34" max="34" width="8.140625" style="47" customWidth="1"/>
    <col min="35" max="35" width="5.00390625" style="47" customWidth="1"/>
    <col min="36" max="36" width="0.85546875" style="47" customWidth="1"/>
    <col min="37" max="37" width="8.140625" style="47" customWidth="1"/>
    <col min="38" max="38" width="4.7109375" style="47" customWidth="1"/>
    <col min="39" max="40" width="0.9921875" style="47" customWidth="1"/>
    <col min="41" max="41" width="8.140625" style="47" customWidth="1"/>
    <col min="42" max="42" width="6.140625" style="47" customWidth="1"/>
    <col min="43" max="43" width="1.7109375" style="47" customWidth="1"/>
    <col min="44" max="44" width="1.8515625" style="29" customWidth="1"/>
    <col min="45" max="51" width="16.8515625" style="29" customWidth="1"/>
    <col min="52" max="52" width="1.8515625" style="29" customWidth="1"/>
    <col min="53"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2" width="1.7109375" style="0" customWidth="1"/>
    <col min="63" max="63" width="33.7109375" style="0" customWidth="1"/>
    <col min="64" max="64" width="5.8515625" style="0" customWidth="1"/>
    <col min="65" max="65" width="6.421875" style="0" customWidth="1"/>
    <col min="66" max="66" width="5.421875" style="0" customWidth="1"/>
    <col min="67" max="67" width="6.7109375" style="0" customWidth="1"/>
    <col min="68" max="68" width="7.421875" style="0" customWidth="1"/>
    <col min="69" max="69" width="20.8515625" style="0" customWidth="1"/>
    <col min="70" max="70" width="1.7109375" style="0" hidden="1" customWidth="1"/>
    <col min="80" max="131" width="15.7109375" style="0" customWidth="1"/>
    <col min="132" max="16384" width="15.7109375" style="29" customWidth="1"/>
  </cols>
  <sheetData>
    <row r="1" spans="1:134" ht="6" customHeight="1" thickBot="1" thickTop="1">
      <c r="A1" s="127"/>
      <c r="B1" s="48"/>
      <c r="C1" s="48"/>
      <c r="D1" s="48"/>
      <c r="E1" s="48"/>
      <c r="F1" s="48"/>
      <c r="G1" s="48"/>
      <c r="H1" s="48"/>
      <c r="I1" s="48"/>
      <c r="J1" s="48"/>
      <c r="K1" s="48"/>
      <c r="L1" s="48"/>
      <c r="M1" s="48"/>
      <c r="N1" s="48"/>
      <c r="O1" s="48"/>
      <c r="P1" s="48"/>
      <c r="Q1" s="48"/>
      <c r="R1" s="48"/>
      <c r="S1" s="49"/>
      <c r="T1" s="78"/>
      <c r="U1" s="79"/>
      <c r="V1" s="79"/>
      <c r="W1" s="79"/>
      <c r="X1" s="79"/>
      <c r="Y1" s="79"/>
      <c r="Z1" s="79"/>
      <c r="AA1" s="79"/>
      <c r="AB1" s="79"/>
      <c r="AC1" s="79"/>
      <c r="AD1" s="79"/>
      <c r="AE1" s="79"/>
      <c r="AF1" s="79"/>
      <c r="AG1" s="79"/>
      <c r="AH1" s="79"/>
      <c r="AI1" s="79"/>
      <c r="AJ1" s="79"/>
      <c r="AK1" s="79"/>
      <c r="AL1" s="79"/>
      <c r="AM1" s="79"/>
      <c r="AN1" s="79"/>
      <c r="AO1" s="79"/>
      <c r="AP1" s="79"/>
      <c r="AQ1" s="80"/>
      <c r="AR1" s="78"/>
      <c r="AS1" s="79"/>
      <c r="AT1" s="79"/>
      <c r="AU1" s="48"/>
      <c r="AV1" s="48"/>
      <c r="AW1" s="48"/>
      <c r="AX1" s="48"/>
      <c r="AY1" s="48"/>
      <c r="AZ1" s="49"/>
      <c r="BA1" s="48"/>
      <c r="BB1" s="48"/>
      <c r="BC1" s="49"/>
      <c r="EB1"/>
      <c r="EC1"/>
      <c r="ED1"/>
    </row>
    <row r="2" spans="1:52" ht="12.75" thickBot="1">
      <c r="A2" s="253" t="s">
        <v>36</v>
      </c>
      <c r="B2" s="254"/>
      <c r="C2" s="254"/>
      <c r="D2" s="254"/>
      <c r="E2" s="254"/>
      <c r="F2" s="254"/>
      <c r="G2" s="254"/>
      <c r="H2" s="254"/>
      <c r="I2" s="254"/>
      <c r="J2" s="254"/>
      <c r="K2" s="254"/>
      <c r="L2" s="254"/>
      <c r="M2" s="254"/>
      <c r="N2" s="254"/>
      <c r="O2" s="254"/>
      <c r="P2" s="254"/>
      <c r="Q2" s="254"/>
      <c r="R2" s="254"/>
      <c r="S2" s="255"/>
      <c r="T2" s="82"/>
      <c r="U2" s="139"/>
      <c r="V2" s="137"/>
      <c r="W2" s="278" t="s">
        <v>680</v>
      </c>
      <c r="X2" s="279"/>
      <c r="Y2" s="279"/>
      <c r="Z2" s="279"/>
      <c r="AA2" s="279"/>
      <c r="AB2" s="280"/>
      <c r="AC2" s="138"/>
      <c r="AD2" s="278" t="s">
        <v>681</v>
      </c>
      <c r="AE2" s="279"/>
      <c r="AF2" s="279"/>
      <c r="AG2" s="279"/>
      <c r="AH2" s="279"/>
      <c r="AI2" s="280"/>
      <c r="AJ2" s="64"/>
      <c r="AK2" s="278" t="s">
        <v>589</v>
      </c>
      <c r="AL2" s="279"/>
      <c r="AM2" s="279"/>
      <c r="AN2" s="279"/>
      <c r="AO2" s="279"/>
      <c r="AP2" s="280"/>
      <c r="AQ2" s="81"/>
      <c r="AR2" s="75"/>
      <c r="AS2" s="27"/>
      <c r="AT2" s="160"/>
      <c r="AU2" s="27"/>
      <c r="AV2" s="27"/>
      <c r="AW2" s="27"/>
      <c r="AX2" s="27"/>
      <c r="AY2" s="27"/>
      <c r="AZ2" s="54"/>
    </row>
    <row r="3" spans="1:52" ht="12">
      <c r="A3" s="51"/>
      <c r="B3" s="21" t="s">
        <v>629</v>
      </c>
      <c r="C3" s="21"/>
      <c r="D3" s="21"/>
      <c r="E3" s="21"/>
      <c r="F3" s="21"/>
      <c r="G3" s="21"/>
      <c r="H3" s="21"/>
      <c r="I3" s="21"/>
      <c r="J3" s="21"/>
      <c r="K3" s="21"/>
      <c r="L3" s="21"/>
      <c r="M3" s="21"/>
      <c r="N3" s="21"/>
      <c r="O3" s="21"/>
      <c r="P3" s="21"/>
      <c r="Q3" s="21"/>
      <c r="R3" s="21"/>
      <c r="S3" s="52"/>
      <c r="T3" s="141"/>
      <c r="U3" s="133"/>
      <c r="V3" s="76"/>
      <c r="W3" s="281" t="s">
        <v>26</v>
      </c>
      <c r="X3" s="281"/>
      <c r="Y3" s="146"/>
      <c r="Z3" s="64"/>
      <c r="AA3" s="281" t="s">
        <v>592</v>
      </c>
      <c r="AB3" s="282"/>
      <c r="AC3" s="138"/>
      <c r="AD3" s="283" t="s">
        <v>26</v>
      </c>
      <c r="AE3" s="284"/>
      <c r="AF3" s="146"/>
      <c r="AG3" s="64"/>
      <c r="AH3" s="281" t="s">
        <v>592</v>
      </c>
      <c r="AI3" s="282"/>
      <c r="AJ3" s="138"/>
      <c r="AK3" s="285" t="s">
        <v>633</v>
      </c>
      <c r="AL3" s="285"/>
      <c r="AM3" s="146"/>
      <c r="AN3" s="64"/>
      <c r="AO3" s="285" t="s">
        <v>628</v>
      </c>
      <c r="AP3" s="286"/>
      <c r="AQ3" s="81"/>
      <c r="AR3" s="53"/>
      <c r="AS3" s="37" t="s">
        <v>595</v>
      </c>
      <c r="AT3" s="91"/>
      <c r="AU3" s="91"/>
      <c r="AV3" s="91"/>
      <c r="AW3" s="91"/>
      <c r="AX3" s="91"/>
      <c r="AY3" s="92"/>
      <c r="AZ3" s="54"/>
    </row>
    <row r="4" spans="1:52" ht="12">
      <c r="A4" s="53"/>
      <c r="B4" s="39" t="s">
        <v>468</v>
      </c>
      <c r="C4" s="39"/>
      <c r="D4" s="39"/>
      <c r="E4" s="39"/>
      <c r="F4" s="39"/>
      <c r="G4" s="39"/>
      <c r="H4" s="39"/>
      <c r="I4" s="39"/>
      <c r="J4" s="38"/>
      <c r="K4" s="38"/>
      <c r="L4" s="38"/>
      <c r="M4" s="38"/>
      <c r="N4" s="38"/>
      <c r="O4" s="38"/>
      <c r="P4" s="38"/>
      <c r="Q4" s="38"/>
      <c r="R4" s="38"/>
      <c r="S4" s="54"/>
      <c r="T4" s="142"/>
      <c r="U4" s="134"/>
      <c r="V4" s="125"/>
      <c r="W4" s="155"/>
      <c r="X4" s="155"/>
      <c r="Y4" s="156"/>
      <c r="Z4" s="154"/>
      <c r="AA4" s="251" t="s">
        <v>591</v>
      </c>
      <c r="AB4" s="275"/>
      <c r="AC4" s="138"/>
      <c r="AD4" s="155"/>
      <c r="AE4" s="155"/>
      <c r="AF4" s="156"/>
      <c r="AG4" s="154"/>
      <c r="AH4" s="251" t="s">
        <v>591</v>
      </c>
      <c r="AI4" s="275"/>
      <c r="AJ4" s="138"/>
      <c r="AK4" s="246" t="s">
        <v>591</v>
      </c>
      <c r="AL4" s="247"/>
      <c r="AM4" s="157"/>
      <c r="AN4" s="155"/>
      <c r="AO4" s="247" t="s">
        <v>590</v>
      </c>
      <c r="AP4" s="248"/>
      <c r="AQ4" s="81"/>
      <c r="AR4" s="53"/>
      <c r="AS4" s="257"/>
      <c r="AT4" s="258"/>
      <c r="AU4" s="258"/>
      <c r="AV4" s="258"/>
      <c r="AW4" s="258"/>
      <c r="AX4" s="258"/>
      <c r="AY4" s="259"/>
      <c r="AZ4" s="54"/>
    </row>
    <row r="5" spans="1:52" ht="12.75" thickBot="1">
      <c r="A5" s="53"/>
      <c r="B5" s="43" t="s">
        <v>23</v>
      </c>
      <c r="D5" s="27"/>
      <c r="E5" s="27"/>
      <c r="F5" s="27"/>
      <c r="G5" s="27"/>
      <c r="S5" s="54"/>
      <c r="T5" s="142"/>
      <c r="U5" s="143" t="s">
        <v>581</v>
      </c>
      <c r="V5" s="128" t="s">
        <v>7</v>
      </c>
      <c r="W5" s="144" t="s">
        <v>27</v>
      </c>
      <c r="X5" s="144" t="s">
        <v>28</v>
      </c>
      <c r="Y5" s="147"/>
      <c r="Z5" s="144"/>
      <c r="AA5" s="144" t="s">
        <v>27</v>
      </c>
      <c r="AB5" s="128" t="s">
        <v>28</v>
      </c>
      <c r="AC5" s="138"/>
      <c r="AD5" s="144" t="s">
        <v>27</v>
      </c>
      <c r="AE5" s="144" t="s">
        <v>28</v>
      </c>
      <c r="AF5" s="151"/>
      <c r="AG5" s="77"/>
      <c r="AH5" s="144" t="s">
        <v>27</v>
      </c>
      <c r="AI5" s="128" t="s">
        <v>28</v>
      </c>
      <c r="AJ5" s="138"/>
      <c r="AK5" s="144" t="s">
        <v>27</v>
      </c>
      <c r="AL5" s="144" t="s">
        <v>28</v>
      </c>
      <c r="AM5" s="151"/>
      <c r="AN5" s="77"/>
      <c r="AO5" s="144" t="s">
        <v>27</v>
      </c>
      <c r="AP5" s="128" t="s">
        <v>28</v>
      </c>
      <c r="AQ5" s="81"/>
      <c r="AR5" s="53"/>
      <c r="AS5" s="257"/>
      <c r="AT5" s="258"/>
      <c r="AU5" s="258"/>
      <c r="AV5" s="258"/>
      <c r="AW5" s="258"/>
      <c r="AX5" s="258"/>
      <c r="AY5" s="259"/>
      <c r="AZ5" s="54"/>
    </row>
    <row r="6" spans="1:52" ht="15.75" customHeight="1">
      <c r="A6" s="53"/>
      <c r="B6" s="27" t="s">
        <v>24</v>
      </c>
      <c r="D6" s="258"/>
      <c r="E6" s="258"/>
      <c r="F6" s="258"/>
      <c r="G6" s="258"/>
      <c r="H6" s="258"/>
      <c r="I6" s="258"/>
      <c r="J6" s="258"/>
      <c r="K6" s="258"/>
      <c r="M6" s="270" t="s">
        <v>630</v>
      </c>
      <c r="N6" s="270"/>
      <c r="O6" s="270"/>
      <c r="P6" s="270"/>
      <c r="Q6" s="270"/>
      <c r="R6" s="270"/>
      <c r="S6" s="54"/>
      <c r="T6" s="142"/>
      <c r="U6" s="125" t="s">
        <v>686</v>
      </c>
      <c r="V6" s="119" t="s">
        <v>685</v>
      </c>
      <c r="W6" s="237"/>
      <c r="X6" s="24" t="s">
        <v>478</v>
      </c>
      <c r="Y6" s="148"/>
      <c r="Z6" s="24"/>
      <c r="AA6" s="237"/>
      <c r="AB6" s="124" t="s">
        <v>479</v>
      </c>
      <c r="AC6" s="138"/>
      <c r="AD6" s="237"/>
      <c r="AE6" s="24" t="s">
        <v>480</v>
      </c>
      <c r="AF6" s="152"/>
      <c r="AG6" s="64"/>
      <c r="AH6" s="237"/>
      <c r="AI6" s="124" t="s">
        <v>481</v>
      </c>
      <c r="AJ6" s="138"/>
      <c r="AK6" s="237"/>
      <c r="AL6" s="24" t="s">
        <v>482</v>
      </c>
      <c r="AM6" s="152"/>
      <c r="AN6" s="64"/>
      <c r="AO6" s="237"/>
      <c r="AP6" s="124" t="s">
        <v>483</v>
      </c>
      <c r="AQ6" s="81"/>
      <c r="AR6" s="53"/>
      <c r="AS6" s="257"/>
      <c r="AT6" s="258"/>
      <c r="AU6" s="258"/>
      <c r="AV6" s="258"/>
      <c r="AW6" s="258"/>
      <c r="AX6" s="258"/>
      <c r="AY6" s="259"/>
      <c r="AZ6" s="54"/>
    </row>
    <row r="7" spans="1:52" ht="15.75" customHeight="1">
      <c r="A7" s="53"/>
      <c r="B7" s="27"/>
      <c r="D7" s="258"/>
      <c r="E7" s="258"/>
      <c r="F7" s="258"/>
      <c r="G7" s="258"/>
      <c r="H7" s="258"/>
      <c r="I7" s="258"/>
      <c r="J7" s="258"/>
      <c r="K7" s="258"/>
      <c r="M7" s="270"/>
      <c r="N7" s="270"/>
      <c r="O7" s="270"/>
      <c r="P7" s="270"/>
      <c r="Q7" s="270"/>
      <c r="R7" s="270"/>
      <c r="S7" s="54"/>
      <c r="T7" s="142"/>
      <c r="U7" s="125" t="s">
        <v>3</v>
      </c>
      <c r="V7" s="119" t="s">
        <v>21</v>
      </c>
      <c r="W7" s="55"/>
      <c r="X7" s="24" t="s">
        <v>469</v>
      </c>
      <c r="Y7" s="148"/>
      <c r="Z7" s="24"/>
      <c r="AA7" s="55"/>
      <c r="AB7" s="124" t="s">
        <v>470</v>
      </c>
      <c r="AC7" s="138"/>
      <c r="AD7" s="55"/>
      <c r="AE7" s="24" t="s">
        <v>471</v>
      </c>
      <c r="AF7" s="152"/>
      <c r="AG7" s="64"/>
      <c r="AH7" s="55"/>
      <c r="AI7" s="124" t="s">
        <v>472</v>
      </c>
      <c r="AJ7" s="138"/>
      <c r="AK7" s="55"/>
      <c r="AL7" s="24" t="s">
        <v>473</v>
      </c>
      <c r="AM7" s="152"/>
      <c r="AN7" s="64"/>
      <c r="AO7" s="55"/>
      <c r="AP7" s="124" t="s">
        <v>474</v>
      </c>
      <c r="AQ7" s="81"/>
      <c r="AR7" s="53"/>
      <c r="AS7" s="94"/>
      <c r="AT7" s="56"/>
      <c r="AU7" s="56"/>
      <c r="AV7" s="56"/>
      <c r="AW7" s="56"/>
      <c r="AX7" s="56"/>
      <c r="AY7" s="95"/>
      <c r="AZ7" s="54"/>
    </row>
    <row r="8" spans="1:52" ht="15.75" customHeight="1">
      <c r="A8" s="53"/>
      <c r="B8" s="27" t="s">
        <v>0</v>
      </c>
      <c r="D8" s="258"/>
      <c r="E8" s="258"/>
      <c r="F8" s="258"/>
      <c r="G8" s="258"/>
      <c r="H8" s="258"/>
      <c r="I8" s="258"/>
      <c r="J8" s="258"/>
      <c r="K8" s="258"/>
      <c r="M8" s="287"/>
      <c r="N8" s="287"/>
      <c r="O8" s="287"/>
      <c r="P8" s="287"/>
      <c r="Q8" s="287"/>
      <c r="R8" s="287"/>
      <c r="S8" s="54"/>
      <c r="T8" s="142"/>
      <c r="U8" s="125" t="s">
        <v>4</v>
      </c>
      <c r="V8" s="119" t="s">
        <v>580</v>
      </c>
      <c r="W8" s="213"/>
      <c r="X8" s="214" t="s">
        <v>521</v>
      </c>
      <c r="Y8" s="215"/>
      <c r="Z8" s="214"/>
      <c r="AA8" s="213"/>
      <c r="AB8" s="216" t="s">
        <v>522</v>
      </c>
      <c r="AC8" s="217"/>
      <c r="AD8" s="213"/>
      <c r="AE8" s="214" t="s">
        <v>547</v>
      </c>
      <c r="AF8" s="218"/>
      <c r="AG8" s="219"/>
      <c r="AH8" s="213"/>
      <c r="AI8" s="124" t="s">
        <v>548</v>
      </c>
      <c r="AJ8" s="138"/>
      <c r="AK8" s="211"/>
      <c r="AL8" s="24" t="s">
        <v>549</v>
      </c>
      <c r="AM8" s="152"/>
      <c r="AN8" s="64"/>
      <c r="AO8" s="213"/>
      <c r="AP8" s="124" t="s">
        <v>550</v>
      </c>
      <c r="AQ8" s="81"/>
      <c r="AR8" s="53"/>
      <c r="AS8" s="257"/>
      <c r="AT8" s="258"/>
      <c r="AU8" s="258"/>
      <c r="AV8" s="258"/>
      <c r="AW8" s="258"/>
      <c r="AX8" s="258"/>
      <c r="AY8" s="259"/>
      <c r="AZ8" s="54"/>
    </row>
    <row r="9" spans="1:52" ht="15.75" customHeight="1">
      <c r="A9" s="53"/>
      <c r="B9" s="27" t="s">
        <v>1</v>
      </c>
      <c r="D9" s="276"/>
      <c r="E9" s="276"/>
      <c r="F9" s="276"/>
      <c r="G9" s="276"/>
      <c r="H9" s="276"/>
      <c r="I9" s="276"/>
      <c r="J9" s="276"/>
      <c r="K9" s="276"/>
      <c r="M9" s="288"/>
      <c r="N9" s="288"/>
      <c r="O9" s="288"/>
      <c r="P9" s="288"/>
      <c r="Q9" s="288"/>
      <c r="R9" s="288"/>
      <c r="S9" s="54"/>
      <c r="T9" s="142"/>
      <c r="U9" s="135" t="s">
        <v>518</v>
      </c>
      <c r="V9" s="119" t="s">
        <v>580</v>
      </c>
      <c r="W9" s="213"/>
      <c r="X9" s="214" t="s">
        <v>523</v>
      </c>
      <c r="Y9" s="215"/>
      <c r="Z9" s="214"/>
      <c r="AA9" s="213"/>
      <c r="AB9" s="216" t="s">
        <v>524</v>
      </c>
      <c r="AC9" s="217"/>
      <c r="AD9" s="213"/>
      <c r="AE9" s="214" t="s">
        <v>551</v>
      </c>
      <c r="AF9" s="218"/>
      <c r="AG9" s="219"/>
      <c r="AH9" s="213"/>
      <c r="AI9" s="124" t="s">
        <v>552</v>
      </c>
      <c r="AJ9" s="138"/>
      <c r="AK9"/>
      <c r="AL9"/>
      <c r="AM9" s="152"/>
      <c r="AN9"/>
      <c r="AO9"/>
      <c r="AP9" s="124"/>
      <c r="AQ9" s="81"/>
      <c r="AR9" s="53"/>
      <c r="AS9" s="260"/>
      <c r="AT9" s="261"/>
      <c r="AU9" s="261"/>
      <c r="AV9" s="261"/>
      <c r="AW9" s="261"/>
      <c r="AX9" s="261"/>
      <c r="AY9" s="262"/>
      <c r="AZ9" s="54"/>
    </row>
    <row r="10" spans="1:52" ht="15.75" customHeight="1">
      <c r="A10" s="53"/>
      <c r="B10" s="27" t="s">
        <v>14</v>
      </c>
      <c r="D10" s="258"/>
      <c r="E10" s="258"/>
      <c r="F10" s="258"/>
      <c r="G10" s="258"/>
      <c r="H10" s="258"/>
      <c r="I10" s="258"/>
      <c r="J10" s="258"/>
      <c r="K10" s="258"/>
      <c r="S10" s="54"/>
      <c r="T10" s="142"/>
      <c r="U10" s="135" t="s">
        <v>519</v>
      </c>
      <c r="V10" s="119" t="s">
        <v>580</v>
      </c>
      <c r="W10" s="213"/>
      <c r="X10" s="214" t="s">
        <v>525</v>
      </c>
      <c r="Y10" s="215"/>
      <c r="Z10" s="214"/>
      <c r="AA10" s="213"/>
      <c r="AB10" s="216" t="s">
        <v>526</v>
      </c>
      <c r="AC10" s="217"/>
      <c r="AD10" s="213"/>
      <c r="AE10" s="214" t="s">
        <v>553</v>
      </c>
      <c r="AF10" s="218"/>
      <c r="AG10" s="219"/>
      <c r="AH10" s="213"/>
      <c r="AI10" s="124" t="s">
        <v>554</v>
      </c>
      <c r="AJ10" s="138"/>
      <c r="AK10"/>
      <c r="AL10"/>
      <c r="AM10" s="152"/>
      <c r="AN10"/>
      <c r="AO10"/>
      <c r="AP10" s="124"/>
      <c r="AQ10" s="81"/>
      <c r="AR10" s="53"/>
      <c r="AS10" s="260"/>
      <c r="AT10" s="261"/>
      <c r="AU10" s="261"/>
      <c r="AV10" s="261"/>
      <c r="AW10" s="261"/>
      <c r="AX10" s="261"/>
      <c r="AY10" s="262"/>
      <c r="AZ10" s="54"/>
    </row>
    <row r="11" spans="1:52" ht="15.75" customHeight="1">
      <c r="A11" s="53"/>
      <c r="B11" s="27" t="s">
        <v>2</v>
      </c>
      <c r="D11" s="258"/>
      <c r="E11" s="258"/>
      <c r="F11" s="258"/>
      <c r="G11" s="258"/>
      <c r="H11" s="258"/>
      <c r="I11" s="258"/>
      <c r="J11" s="258"/>
      <c r="K11" s="258"/>
      <c r="S11" s="54"/>
      <c r="T11" s="142"/>
      <c r="U11" s="135" t="s">
        <v>520</v>
      </c>
      <c r="V11" s="119" t="s">
        <v>580</v>
      </c>
      <c r="W11" s="213"/>
      <c r="X11" s="214" t="s">
        <v>527</v>
      </c>
      <c r="Y11" s="215"/>
      <c r="Z11" s="214"/>
      <c r="AA11" s="213"/>
      <c r="AB11" s="216" t="s">
        <v>528</v>
      </c>
      <c r="AC11" s="217"/>
      <c r="AD11" s="213"/>
      <c r="AE11" s="214" t="s">
        <v>555</v>
      </c>
      <c r="AF11" s="218"/>
      <c r="AG11" s="219"/>
      <c r="AH11" s="213"/>
      <c r="AI11" s="124" t="s">
        <v>556</v>
      </c>
      <c r="AJ11" s="138"/>
      <c r="AK11"/>
      <c r="AL11"/>
      <c r="AM11" s="152"/>
      <c r="AN11"/>
      <c r="AO11"/>
      <c r="AP11" s="124"/>
      <c r="AQ11" s="81"/>
      <c r="AR11" s="53"/>
      <c r="AS11" s="260"/>
      <c r="AT11" s="261"/>
      <c r="AU11" s="261"/>
      <c r="AV11" s="261"/>
      <c r="AW11" s="261"/>
      <c r="AX11" s="261"/>
      <c r="AY11" s="262"/>
      <c r="AZ11" s="54"/>
    </row>
    <row r="12" spans="1:52" ht="15.75" customHeight="1">
      <c r="A12" s="53"/>
      <c r="B12" s="27" t="s">
        <v>679</v>
      </c>
      <c r="D12" s="249">
        <v>1</v>
      </c>
      <c r="E12" s="250"/>
      <c r="F12" s="250"/>
      <c r="G12" s="250"/>
      <c r="H12" s="250"/>
      <c r="I12" s="250"/>
      <c r="J12" s="58"/>
      <c r="S12" s="54"/>
      <c r="T12" s="142"/>
      <c r="U12" s="125" t="s">
        <v>536</v>
      </c>
      <c r="V12" s="119" t="s">
        <v>21</v>
      </c>
      <c r="W12" s="55"/>
      <c r="X12" s="24" t="s">
        <v>557</v>
      </c>
      <c r="Y12" s="148"/>
      <c r="Z12" s="24"/>
      <c r="AA12" s="55"/>
      <c r="AB12" s="124" t="s">
        <v>558</v>
      </c>
      <c r="AC12" s="138"/>
      <c r="AD12" s="55"/>
      <c r="AE12" s="24" t="s">
        <v>537</v>
      </c>
      <c r="AF12" s="152"/>
      <c r="AG12" s="64"/>
      <c r="AH12" s="55"/>
      <c r="AI12" s="124" t="s">
        <v>538</v>
      </c>
      <c r="AJ12" s="138"/>
      <c r="AK12" s="57"/>
      <c r="AL12" s="24" t="s">
        <v>539</v>
      </c>
      <c r="AM12" s="152"/>
      <c r="AN12" s="64"/>
      <c r="AO12" s="55"/>
      <c r="AP12" s="124" t="s">
        <v>540</v>
      </c>
      <c r="AQ12" s="81"/>
      <c r="AR12" s="53"/>
      <c r="AS12" s="267"/>
      <c r="AT12" s="268"/>
      <c r="AU12" s="268"/>
      <c r="AV12" s="268"/>
      <c r="AW12" s="268"/>
      <c r="AX12" s="268"/>
      <c r="AY12" s="269"/>
      <c r="AZ12" s="54"/>
    </row>
    <row r="13" spans="1:52" ht="15.75" customHeight="1">
      <c r="A13" s="53"/>
      <c r="B13" s="27" t="s">
        <v>37</v>
      </c>
      <c r="D13" s="250">
        <v>1</v>
      </c>
      <c r="E13" s="250"/>
      <c r="F13" s="250"/>
      <c r="G13" s="250"/>
      <c r="H13" s="250"/>
      <c r="I13" s="250"/>
      <c r="J13" s="58"/>
      <c r="S13" s="54"/>
      <c r="T13" s="142"/>
      <c r="U13" s="135" t="s">
        <v>533</v>
      </c>
      <c r="V13" s="119" t="s">
        <v>21</v>
      </c>
      <c r="W13" s="55"/>
      <c r="X13" s="24" t="s">
        <v>559</v>
      </c>
      <c r="Y13" s="148"/>
      <c r="Z13" s="24"/>
      <c r="AA13" s="55"/>
      <c r="AB13" s="124" t="s">
        <v>560</v>
      </c>
      <c r="AC13" s="138"/>
      <c r="AD13" s="55"/>
      <c r="AE13" s="24" t="s">
        <v>541</v>
      </c>
      <c r="AF13" s="152"/>
      <c r="AG13" s="64"/>
      <c r="AH13" s="55"/>
      <c r="AI13" s="124" t="s">
        <v>542</v>
      </c>
      <c r="AJ13" s="138"/>
      <c r="AK13"/>
      <c r="AL13"/>
      <c r="AM13" s="152"/>
      <c r="AN13"/>
      <c r="AO13"/>
      <c r="AP13" s="124"/>
      <c r="AQ13" s="81"/>
      <c r="AR13" s="53"/>
      <c r="AY13" s="27"/>
      <c r="AZ13" s="54"/>
    </row>
    <row r="14" spans="1:52" ht="15.75" customHeight="1">
      <c r="A14" s="53"/>
      <c r="B14" s="27"/>
      <c r="D14" s="58"/>
      <c r="E14" s="58"/>
      <c r="F14" s="58"/>
      <c r="G14" s="58"/>
      <c r="H14" s="58"/>
      <c r="I14" s="58"/>
      <c r="J14" s="58"/>
      <c r="S14" s="54"/>
      <c r="T14" s="142"/>
      <c r="U14" s="135" t="s">
        <v>534</v>
      </c>
      <c r="V14" s="119" t="s">
        <v>21</v>
      </c>
      <c r="W14" s="55"/>
      <c r="X14" s="24" t="s">
        <v>561</v>
      </c>
      <c r="Y14" s="148"/>
      <c r="Z14" s="24"/>
      <c r="AA14" s="55"/>
      <c r="AB14" s="124" t="s">
        <v>562</v>
      </c>
      <c r="AC14" s="138"/>
      <c r="AD14" s="55"/>
      <c r="AE14" s="24" t="s">
        <v>543</v>
      </c>
      <c r="AF14" s="152"/>
      <c r="AG14" s="64"/>
      <c r="AH14" s="55"/>
      <c r="AI14" s="124" t="s">
        <v>544</v>
      </c>
      <c r="AJ14" s="138"/>
      <c r="AK14"/>
      <c r="AL14"/>
      <c r="AM14" s="152"/>
      <c r="AN14"/>
      <c r="AO14"/>
      <c r="AP14" s="124"/>
      <c r="AQ14" s="81"/>
      <c r="AR14" s="53"/>
      <c r="AS14" s="37" t="s">
        <v>594</v>
      </c>
      <c r="AT14" s="91"/>
      <c r="AU14" s="91"/>
      <c r="AV14" s="91"/>
      <c r="AW14" s="91"/>
      <c r="AX14" s="91"/>
      <c r="AY14" s="92"/>
      <c r="AZ14" s="54"/>
    </row>
    <row r="15" spans="1:52" ht="15.75" customHeight="1" thickBot="1">
      <c r="A15" s="53"/>
      <c r="B15" s="97" t="s">
        <v>597</v>
      </c>
      <c r="C15" s="59"/>
      <c r="D15" s="60"/>
      <c r="E15" s="60"/>
      <c r="F15" s="60"/>
      <c r="G15" s="60"/>
      <c r="H15" s="60"/>
      <c r="I15" s="60"/>
      <c r="J15" s="60"/>
      <c r="K15" s="46"/>
      <c r="L15" s="46"/>
      <c r="M15" s="46"/>
      <c r="N15" s="46"/>
      <c r="O15" s="46"/>
      <c r="P15" s="46"/>
      <c r="Q15" s="46"/>
      <c r="R15" s="46"/>
      <c r="S15" s="54"/>
      <c r="T15" s="142"/>
      <c r="U15" s="135" t="s">
        <v>535</v>
      </c>
      <c r="V15" s="119" t="s">
        <v>21</v>
      </c>
      <c r="W15" s="55"/>
      <c r="X15" s="24" t="s">
        <v>563</v>
      </c>
      <c r="Y15" s="148"/>
      <c r="Z15" s="24"/>
      <c r="AA15" s="55"/>
      <c r="AB15" s="124" t="s">
        <v>564</v>
      </c>
      <c r="AC15" s="138"/>
      <c r="AD15" s="55"/>
      <c r="AE15" s="24" t="s">
        <v>545</v>
      </c>
      <c r="AF15" s="152"/>
      <c r="AG15" s="64"/>
      <c r="AH15" s="55"/>
      <c r="AI15" s="124" t="s">
        <v>546</v>
      </c>
      <c r="AJ15" s="138"/>
      <c r="AK15"/>
      <c r="AL15"/>
      <c r="AM15" s="152"/>
      <c r="AN15"/>
      <c r="AO15"/>
      <c r="AP15" s="124"/>
      <c r="AQ15" s="81"/>
      <c r="AR15" s="53"/>
      <c r="AS15" s="257"/>
      <c r="AT15" s="258"/>
      <c r="AU15" s="258"/>
      <c r="AV15" s="258"/>
      <c r="AW15" s="258"/>
      <c r="AX15" s="258"/>
      <c r="AY15" s="259"/>
      <c r="AZ15" s="54"/>
    </row>
    <row r="16" spans="1:52" ht="15.75" customHeight="1">
      <c r="A16" s="53"/>
      <c r="B16" s="263" t="s">
        <v>598</v>
      </c>
      <c r="C16" s="263"/>
      <c r="D16" s="263"/>
      <c r="E16" s="44" t="s">
        <v>599</v>
      </c>
      <c r="F16" s="44"/>
      <c r="G16" s="44" t="s">
        <v>20</v>
      </c>
      <c r="H16" s="45"/>
      <c r="I16" s="70" t="s">
        <v>28</v>
      </c>
      <c r="J16" s="45"/>
      <c r="K16" s="45" t="s">
        <v>598</v>
      </c>
      <c r="L16" s="45"/>
      <c r="M16" s="45"/>
      <c r="N16" s="44" t="s">
        <v>599</v>
      </c>
      <c r="O16" s="44"/>
      <c r="P16" s="45" t="s">
        <v>20</v>
      </c>
      <c r="Q16" s="45"/>
      <c r="R16" s="70" t="s">
        <v>28</v>
      </c>
      <c r="S16" s="54"/>
      <c r="T16" s="142"/>
      <c r="U16" s="135" t="s">
        <v>585</v>
      </c>
      <c r="V16" s="126" t="s">
        <v>16</v>
      </c>
      <c r="W16" s="258"/>
      <c r="X16" s="258"/>
      <c r="Y16" s="114"/>
      <c r="Z16" s="8"/>
      <c r="AA16" s="74"/>
      <c r="AB16" s="124"/>
      <c r="AC16" s="138"/>
      <c r="AD16" s="258"/>
      <c r="AE16" s="258"/>
      <c r="AF16" s="152"/>
      <c r="AG16" s="64"/>
      <c r="AH16" s="74"/>
      <c r="AI16" s="76"/>
      <c r="AJ16" s="138"/>
      <c r="AK16" s="258"/>
      <c r="AL16" s="258"/>
      <c r="AM16" s="152"/>
      <c r="AN16" s="64"/>
      <c r="AO16" s="64"/>
      <c r="AP16" s="76"/>
      <c r="AQ16" s="81"/>
      <c r="AR16" s="53"/>
      <c r="AS16" s="257"/>
      <c r="AT16" s="258"/>
      <c r="AU16" s="258"/>
      <c r="AV16" s="258"/>
      <c r="AW16" s="258"/>
      <c r="AX16" s="258"/>
      <c r="AY16" s="259"/>
      <c r="AZ16" s="54"/>
    </row>
    <row r="17" spans="1:52" ht="15.75" customHeight="1">
      <c r="A17" s="53"/>
      <c r="B17" s="270" t="s">
        <v>395</v>
      </c>
      <c r="C17" s="270"/>
      <c r="D17" s="270"/>
      <c r="E17" s="212"/>
      <c r="F17" s="26"/>
      <c r="G17" s="27" t="s">
        <v>580</v>
      </c>
      <c r="J17" s="93"/>
      <c r="K17" s="270" t="s">
        <v>529</v>
      </c>
      <c r="L17" s="270"/>
      <c r="M17" s="270"/>
      <c r="N17" s="61"/>
      <c r="O17" s="26"/>
      <c r="P17" s="25" t="s">
        <v>21</v>
      </c>
      <c r="R17" s="24" t="s">
        <v>514</v>
      </c>
      <c r="S17" s="54"/>
      <c r="T17" s="142"/>
      <c r="U17" s="125" t="s">
        <v>13</v>
      </c>
      <c r="V17" s="119" t="s">
        <v>21</v>
      </c>
      <c r="W17" s="96"/>
      <c r="X17" s="27"/>
      <c r="Y17" s="149"/>
      <c r="Z17" s="27"/>
      <c r="AA17" s="55"/>
      <c r="AB17" s="124" t="s">
        <v>475</v>
      </c>
      <c r="AC17" s="138"/>
      <c r="AD17" s="96"/>
      <c r="AE17" s="24"/>
      <c r="AF17" s="152"/>
      <c r="AG17" s="64"/>
      <c r="AH17" s="232"/>
      <c r="AI17" s="124" t="s">
        <v>476</v>
      </c>
      <c r="AJ17" s="138"/>
      <c r="AK17" s="27"/>
      <c r="AL17" s="24"/>
      <c r="AM17" s="152"/>
      <c r="AN17" s="64"/>
      <c r="AO17" s="55"/>
      <c r="AP17" s="124" t="s">
        <v>477</v>
      </c>
      <c r="AQ17" s="81"/>
      <c r="AR17" s="53"/>
      <c r="AS17" s="94"/>
      <c r="AT17" s="56"/>
      <c r="AU17" s="56"/>
      <c r="AV17" s="56"/>
      <c r="AW17" s="56"/>
      <c r="AX17" s="56"/>
      <c r="AY17" s="95"/>
      <c r="AZ17" s="54"/>
    </row>
    <row r="18" spans="1:52" ht="15.75" customHeight="1" thickBot="1">
      <c r="A18" s="53"/>
      <c r="B18" s="270" t="s">
        <v>682</v>
      </c>
      <c r="C18" s="270"/>
      <c r="D18" s="270"/>
      <c r="E18" s="61"/>
      <c r="F18" s="26"/>
      <c r="G18" s="27" t="s">
        <v>467</v>
      </c>
      <c r="J18" s="93"/>
      <c r="K18" s="270" t="s">
        <v>530</v>
      </c>
      <c r="L18" s="270"/>
      <c r="M18" s="270"/>
      <c r="N18" s="61"/>
      <c r="O18" s="26"/>
      <c r="P18" s="25" t="s">
        <v>21</v>
      </c>
      <c r="R18" s="24" t="s">
        <v>515</v>
      </c>
      <c r="S18" s="54"/>
      <c r="T18" s="142"/>
      <c r="U18" s="136"/>
      <c r="V18" s="128"/>
      <c r="W18" s="129"/>
      <c r="X18" s="131"/>
      <c r="Y18" s="150"/>
      <c r="Z18" s="131"/>
      <c r="AA18" s="129"/>
      <c r="AB18" s="130"/>
      <c r="AC18" s="145"/>
      <c r="AD18" s="129"/>
      <c r="AE18" s="131"/>
      <c r="AF18" s="153"/>
      <c r="AG18" s="132"/>
      <c r="AH18" s="129"/>
      <c r="AI18" s="130"/>
      <c r="AJ18" s="145"/>
      <c r="AK18" s="129"/>
      <c r="AL18" s="131"/>
      <c r="AM18" s="153"/>
      <c r="AN18" s="132"/>
      <c r="AO18" s="129"/>
      <c r="AP18" s="140"/>
      <c r="AQ18" s="81"/>
      <c r="AR18" s="53"/>
      <c r="AS18" s="257"/>
      <c r="AT18" s="258"/>
      <c r="AU18" s="258"/>
      <c r="AV18" s="258"/>
      <c r="AW18" s="258"/>
      <c r="AX18" s="258"/>
      <c r="AY18" s="259"/>
      <c r="AZ18" s="54"/>
    </row>
    <row r="19" spans="1:52" ht="15.75" customHeight="1" thickBot="1">
      <c r="A19" s="53"/>
      <c r="B19" s="270" t="s">
        <v>634</v>
      </c>
      <c r="C19" s="270"/>
      <c r="D19" s="270"/>
      <c r="E19" s="231">
        <f>VLOOKUP(D12,'Calorific values'!D2:K88,8)</f>
        <v>0</v>
      </c>
      <c r="F19" s="62"/>
      <c r="G19" s="27" t="s">
        <v>17</v>
      </c>
      <c r="I19" s="25" t="s">
        <v>382</v>
      </c>
      <c r="J19" s="93"/>
      <c r="K19" s="270" t="s">
        <v>531</v>
      </c>
      <c r="L19" s="270"/>
      <c r="M19" s="270"/>
      <c r="N19" s="61"/>
      <c r="O19" s="26"/>
      <c r="P19" s="25" t="s">
        <v>21</v>
      </c>
      <c r="R19" s="24" t="s">
        <v>516</v>
      </c>
      <c r="S19" s="54"/>
      <c r="T19" s="82"/>
      <c r="U19" s="77"/>
      <c r="V19" s="77"/>
      <c r="W19" s="77"/>
      <c r="X19" s="77"/>
      <c r="Y19" s="77"/>
      <c r="Z19" s="77"/>
      <c r="AA19" s="77"/>
      <c r="AB19" s="77"/>
      <c r="AC19" s="77"/>
      <c r="AD19" s="77"/>
      <c r="AE19" s="77"/>
      <c r="AF19" s="77"/>
      <c r="AG19" s="77"/>
      <c r="AH19" s="77"/>
      <c r="AI19" s="77"/>
      <c r="AJ19" s="77"/>
      <c r="AK19" s="77"/>
      <c r="AL19" s="77"/>
      <c r="AM19" s="77"/>
      <c r="AN19" s="77"/>
      <c r="AO19" s="77"/>
      <c r="AP19" s="77"/>
      <c r="AQ19" s="81"/>
      <c r="AR19" s="53"/>
      <c r="AS19" s="260"/>
      <c r="AT19" s="261"/>
      <c r="AU19" s="261"/>
      <c r="AV19" s="261"/>
      <c r="AW19" s="261"/>
      <c r="AX19" s="261"/>
      <c r="AY19" s="262"/>
      <c r="AZ19" s="54"/>
    </row>
    <row r="20" spans="1:52" ht="15.75" customHeight="1">
      <c r="A20" s="53"/>
      <c r="B20" s="270" t="s">
        <v>678</v>
      </c>
      <c r="C20" s="270"/>
      <c r="D20" s="270"/>
      <c r="E20" s="98">
        <f>IF(E19=0,0,(IF(D12&lt;=2,E19-3300,IF(D12=3,E19-2600,(IF(D12&lt;=5,E19-1200,E19-1320))))))</f>
        <v>0</v>
      </c>
      <c r="F20" s="62"/>
      <c r="G20" s="27" t="s">
        <v>17</v>
      </c>
      <c r="I20" s="25" t="s">
        <v>383</v>
      </c>
      <c r="J20" s="93"/>
      <c r="K20" s="270" t="s">
        <v>532</v>
      </c>
      <c r="L20" s="270"/>
      <c r="M20" s="270"/>
      <c r="N20" s="61"/>
      <c r="O20" s="26"/>
      <c r="P20" s="25" t="s">
        <v>21</v>
      </c>
      <c r="R20" s="24" t="s">
        <v>517</v>
      </c>
      <c r="S20" s="54"/>
      <c r="T20" s="82"/>
      <c r="U20" s="64"/>
      <c r="V20" s="64"/>
      <c r="W20" s="158" t="s">
        <v>586</v>
      </c>
      <c r="X20" s="64"/>
      <c r="Y20" s="146"/>
      <c r="Z20" s="64"/>
      <c r="AA20" s="158" t="s">
        <v>587</v>
      </c>
      <c r="AB20" s="64"/>
      <c r="AC20" s="76"/>
      <c r="AD20" s="159" t="s">
        <v>624</v>
      </c>
      <c r="AE20" s="64"/>
      <c r="AF20" s="64"/>
      <c r="AG20" s="64"/>
      <c r="AH20" s="64"/>
      <c r="AI20" s="64"/>
      <c r="AJ20" s="64"/>
      <c r="AK20" s="64"/>
      <c r="AL20" s="64"/>
      <c r="AM20" s="64"/>
      <c r="AN20" s="64"/>
      <c r="AO20" s="64"/>
      <c r="AP20" s="64"/>
      <c r="AQ20" s="81"/>
      <c r="AR20" s="53"/>
      <c r="AS20" s="260"/>
      <c r="AT20" s="261"/>
      <c r="AU20" s="261"/>
      <c r="AV20" s="261"/>
      <c r="AW20" s="261"/>
      <c r="AX20" s="261"/>
      <c r="AY20" s="262"/>
      <c r="AZ20" s="54"/>
    </row>
    <row r="21" spans="1:52" ht="15.75" customHeight="1">
      <c r="A21" s="53"/>
      <c r="B21" s="270" t="s">
        <v>19</v>
      </c>
      <c r="C21" s="270"/>
      <c r="D21" s="270"/>
      <c r="E21" s="224">
        <f>'Fuel Moisture'!F14</f>
        <v>0</v>
      </c>
      <c r="F21" s="63"/>
      <c r="G21" s="27" t="s">
        <v>22</v>
      </c>
      <c r="I21" s="25" t="s">
        <v>12</v>
      </c>
      <c r="J21" s="93"/>
      <c r="K21" s="270" t="s">
        <v>18</v>
      </c>
      <c r="L21" s="270"/>
      <c r="M21" s="270"/>
      <c r="N21" s="61"/>
      <c r="O21" s="26"/>
      <c r="P21" s="25" t="s">
        <v>21</v>
      </c>
      <c r="R21" s="24" t="s">
        <v>384</v>
      </c>
      <c r="S21" s="54"/>
      <c r="T21" s="82"/>
      <c r="U21" s="69" t="s">
        <v>588</v>
      </c>
      <c r="V21" s="23" t="s">
        <v>7</v>
      </c>
      <c r="W21" s="23" t="s">
        <v>27</v>
      </c>
      <c r="X21" s="23" t="s">
        <v>28</v>
      </c>
      <c r="Y21" s="152"/>
      <c r="Z21" s="64"/>
      <c r="AA21" s="23" t="s">
        <v>27</v>
      </c>
      <c r="AB21" s="23" t="s">
        <v>28</v>
      </c>
      <c r="AC21" s="76"/>
      <c r="AD21" s="72" t="s">
        <v>588</v>
      </c>
      <c r="AE21" s="64"/>
      <c r="AF21" s="64"/>
      <c r="AG21" s="64"/>
      <c r="AH21" s="64"/>
      <c r="AI21" s="64"/>
      <c r="AJ21" s="64"/>
      <c r="AK21" s="64"/>
      <c r="AL21" s="23" t="s">
        <v>7</v>
      </c>
      <c r="AM21" s="64"/>
      <c r="AN21" s="64"/>
      <c r="AO21" s="23" t="s">
        <v>27</v>
      </c>
      <c r="AP21" s="23" t="s">
        <v>28</v>
      </c>
      <c r="AQ21" s="81"/>
      <c r="AR21" s="53"/>
      <c r="AS21" s="260"/>
      <c r="AT21" s="261"/>
      <c r="AU21" s="261"/>
      <c r="AV21" s="261"/>
      <c r="AW21" s="261"/>
      <c r="AX21" s="261"/>
      <c r="AY21" s="262"/>
      <c r="AZ21" s="54"/>
    </row>
    <row r="22" spans="1:52" ht="15.75" customHeight="1">
      <c r="A22" s="53"/>
      <c r="B22" s="245" t="s">
        <v>582</v>
      </c>
      <c r="C22" s="245"/>
      <c r="D22" s="245"/>
      <c r="E22" s="231">
        <f>E20*(1-E21)-(E21*((N22-E17)*4.2+2260))</f>
        <v>0</v>
      </c>
      <c r="F22" s="63"/>
      <c r="G22" s="27" t="s">
        <v>17</v>
      </c>
      <c r="I22" s="25" t="s">
        <v>507</v>
      </c>
      <c r="J22" s="93"/>
      <c r="K22" s="270" t="s">
        <v>583</v>
      </c>
      <c r="L22" s="270"/>
      <c r="M22" s="270"/>
      <c r="N22" s="210"/>
      <c r="O22" s="26"/>
      <c r="P22" s="25" t="s">
        <v>580</v>
      </c>
      <c r="R22" s="24" t="s">
        <v>513</v>
      </c>
      <c r="S22" s="54"/>
      <c r="T22" s="82"/>
      <c r="U22" s="27" t="s">
        <v>9</v>
      </c>
      <c r="V22" s="25" t="s">
        <v>21</v>
      </c>
      <c r="W22" s="99">
        <f>W7-AA7</f>
        <v>0</v>
      </c>
      <c r="X22" s="24" t="s">
        <v>484</v>
      </c>
      <c r="Y22" s="152"/>
      <c r="Z22" s="64"/>
      <c r="AA22" s="99">
        <f>AD7-AH7</f>
        <v>0</v>
      </c>
      <c r="AB22" s="24" t="s">
        <v>485</v>
      </c>
      <c r="AC22" s="76"/>
      <c r="AD22" s="73" t="s">
        <v>632</v>
      </c>
      <c r="AE22" s="64"/>
      <c r="AF22" s="64"/>
      <c r="AG22" s="64"/>
      <c r="AH22" s="64"/>
      <c r="AI22" s="64"/>
      <c r="AJ22" s="64"/>
      <c r="AK22" s="64"/>
      <c r="AL22" s="25" t="s">
        <v>21</v>
      </c>
      <c r="AM22" s="64"/>
      <c r="AN22" s="64"/>
      <c r="AO22" s="99">
        <f>IF(AO7=0,0,AK7-AO7)</f>
        <v>0</v>
      </c>
      <c r="AP22" s="24" t="s">
        <v>486</v>
      </c>
      <c r="AQ22" s="81"/>
      <c r="AR22" s="53"/>
      <c r="AS22" s="260"/>
      <c r="AT22" s="261"/>
      <c r="AU22" s="261"/>
      <c r="AV22" s="261"/>
      <c r="AW22" s="261"/>
      <c r="AX22" s="261"/>
      <c r="AY22" s="262"/>
      <c r="AZ22" s="54"/>
    </row>
    <row r="23" spans="1:52" ht="15.75" customHeight="1">
      <c r="A23" s="53"/>
      <c r="B23" s="71" t="s">
        <v>635</v>
      </c>
      <c r="D23" s="27"/>
      <c r="E23" s="27"/>
      <c r="F23" s="27"/>
      <c r="G23" s="27"/>
      <c r="J23" s="93"/>
      <c r="K23" s="71"/>
      <c r="L23" s="24"/>
      <c r="M23" s="24"/>
      <c r="N23" s="24"/>
      <c r="O23" s="24"/>
      <c r="P23" s="24"/>
      <c r="Q23" s="24"/>
      <c r="R23" s="24"/>
      <c r="S23" s="54"/>
      <c r="T23" s="82"/>
      <c r="U23" s="27" t="s">
        <v>584</v>
      </c>
      <c r="V23" s="25" t="s">
        <v>21</v>
      </c>
      <c r="W23" s="99">
        <f>IF(AA17=0,0,AA17-$N$21)</f>
        <v>0</v>
      </c>
      <c r="X23" s="24" t="s">
        <v>641</v>
      </c>
      <c r="Y23" s="152"/>
      <c r="Z23" s="64"/>
      <c r="AA23" s="99">
        <f>IF(AH17=0,0,AH17-$N$21)</f>
        <v>0</v>
      </c>
      <c r="AB23" s="24" t="s">
        <v>643</v>
      </c>
      <c r="AC23" s="76"/>
      <c r="AD23" s="73" t="s">
        <v>35</v>
      </c>
      <c r="AE23" s="64"/>
      <c r="AF23" s="64"/>
      <c r="AG23" s="64"/>
      <c r="AH23" s="64"/>
      <c r="AI23" s="64"/>
      <c r="AJ23" s="64"/>
      <c r="AK23" s="64"/>
      <c r="AL23" s="25" t="s">
        <v>21</v>
      </c>
      <c r="AM23" s="64"/>
      <c r="AN23" s="64"/>
      <c r="AO23" s="99">
        <f>IF(AO17=0,0,(AO17-$N$21)-W23)</f>
        <v>0</v>
      </c>
      <c r="AP23" s="24" t="s">
        <v>646</v>
      </c>
      <c r="AQ23" s="81"/>
      <c r="AR23" s="53"/>
      <c r="AS23" s="267"/>
      <c r="AT23" s="268"/>
      <c r="AU23" s="268"/>
      <c r="AV23" s="268"/>
      <c r="AW23" s="268"/>
      <c r="AX23" s="268"/>
      <c r="AY23" s="269"/>
      <c r="AZ23" s="54"/>
    </row>
    <row r="24" spans="1:52" ht="15.75" customHeight="1">
      <c r="A24" s="53"/>
      <c r="B24" s="71"/>
      <c r="D24" s="27"/>
      <c r="E24" s="27"/>
      <c r="F24" s="27"/>
      <c r="G24" s="27"/>
      <c r="K24" s="71"/>
      <c r="L24" s="24"/>
      <c r="M24" s="24"/>
      <c r="N24" s="24"/>
      <c r="O24" s="24"/>
      <c r="P24" s="24"/>
      <c r="Q24" s="24"/>
      <c r="R24" s="24"/>
      <c r="S24" s="54"/>
      <c r="T24" s="82"/>
      <c r="U24" s="27" t="s">
        <v>5</v>
      </c>
      <c r="V24" s="25" t="s">
        <v>21</v>
      </c>
      <c r="W24" s="99">
        <f>W22*(1-1.12*$E$21)-1.5*W23</f>
        <v>0</v>
      </c>
      <c r="X24" s="24" t="s">
        <v>487</v>
      </c>
      <c r="Y24" s="152"/>
      <c r="Z24" s="64"/>
      <c r="AA24" s="99">
        <f>AA22*(1-1.12*$E$21)-1.5*AA23</f>
        <v>0</v>
      </c>
      <c r="AB24" s="24" t="s">
        <v>488</v>
      </c>
      <c r="AC24" s="76"/>
      <c r="AD24" s="73" t="s">
        <v>5</v>
      </c>
      <c r="AE24" s="64"/>
      <c r="AF24" s="64"/>
      <c r="AG24" s="64"/>
      <c r="AH24" s="64"/>
      <c r="AI24" s="64"/>
      <c r="AJ24" s="64"/>
      <c r="AK24" s="64"/>
      <c r="AL24" s="25" t="s">
        <v>21</v>
      </c>
      <c r="AM24" s="64"/>
      <c r="AN24" s="64"/>
      <c r="AO24" s="99">
        <f>AO22*(1-1.12*$E$21)-1.5*AO23</f>
        <v>0</v>
      </c>
      <c r="AP24" s="24" t="s">
        <v>489</v>
      </c>
      <c r="AQ24" s="81"/>
      <c r="AR24" s="53"/>
      <c r="AT24" s="28"/>
      <c r="AU24" s="28"/>
      <c r="AV24" s="28"/>
      <c r="AW24" s="28"/>
      <c r="AX24" s="28"/>
      <c r="AY24" s="28"/>
      <c r="AZ24" s="54"/>
    </row>
    <row r="25" spans="1:52" ht="15.75" customHeight="1">
      <c r="A25" s="53"/>
      <c r="B25" s="89" t="s">
        <v>593</v>
      </c>
      <c r="C25" s="40"/>
      <c r="D25" s="90"/>
      <c r="E25" s="274"/>
      <c r="F25" s="274"/>
      <c r="G25" s="274"/>
      <c r="H25" s="274"/>
      <c r="I25" s="274"/>
      <c r="J25" s="274"/>
      <c r="K25" s="274"/>
      <c r="L25" s="274"/>
      <c r="M25" s="274"/>
      <c r="N25" s="274"/>
      <c r="O25" s="274"/>
      <c r="P25" s="274"/>
      <c r="Q25" s="274"/>
      <c r="R25" s="252"/>
      <c r="S25" s="54"/>
      <c r="T25" s="82"/>
      <c r="U25" s="27" t="s">
        <v>565</v>
      </c>
      <c r="V25" s="25" t="s">
        <v>21</v>
      </c>
      <c r="W25" s="99">
        <f>SUM(W12:W15)-SUM(AA12:AA15)</f>
        <v>0</v>
      </c>
      <c r="X25" s="24" t="s">
        <v>490</v>
      </c>
      <c r="Y25" s="152"/>
      <c r="Z25" s="64"/>
      <c r="AA25" s="99">
        <f>SUM(AD12:AD15)-SUM(AH12:AH15)</f>
        <v>0</v>
      </c>
      <c r="AB25" s="24" t="s">
        <v>491</v>
      </c>
      <c r="AC25" s="76"/>
      <c r="AD25" s="73" t="s">
        <v>29</v>
      </c>
      <c r="AE25" s="64"/>
      <c r="AF25" s="64"/>
      <c r="AG25" s="64"/>
      <c r="AH25" s="64"/>
      <c r="AI25" s="64"/>
      <c r="AJ25" s="64"/>
      <c r="AK25" s="64"/>
      <c r="AL25" s="25" t="s">
        <v>21</v>
      </c>
      <c r="AM25" s="64"/>
      <c r="AN25" s="64"/>
      <c r="AO25" s="99">
        <f>AK12-AO12</f>
        <v>0</v>
      </c>
      <c r="AP25" s="24" t="s">
        <v>492</v>
      </c>
      <c r="AQ25" s="81"/>
      <c r="AR25" s="53"/>
      <c r="AS25" s="37" t="s">
        <v>596</v>
      </c>
      <c r="AT25" s="91"/>
      <c r="AU25" s="91"/>
      <c r="AV25" s="91"/>
      <c r="AW25" s="91"/>
      <c r="AX25" s="91"/>
      <c r="AY25" s="92"/>
      <c r="AZ25" s="54"/>
    </row>
    <row r="26" spans="1:52" ht="15.75" customHeight="1">
      <c r="A26" s="53"/>
      <c r="B26" s="264"/>
      <c r="C26" s="265"/>
      <c r="D26" s="265"/>
      <c r="E26" s="265"/>
      <c r="F26" s="265"/>
      <c r="G26" s="265"/>
      <c r="H26" s="265"/>
      <c r="I26" s="265"/>
      <c r="J26" s="265"/>
      <c r="K26" s="265"/>
      <c r="L26" s="265"/>
      <c r="M26" s="265"/>
      <c r="N26" s="265"/>
      <c r="O26" s="265"/>
      <c r="P26" s="265"/>
      <c r="Q26" s="265"/>
      <c r="R26" s="266"/>
      <c r="S26" s="54"/>
      <c r="T26" s="82"/>
      <c r="U26" s="27" t="s">
        <v>631</v>
      </c>
      <c r="V26" s="25" t="s">
        <v>21</v>
      </c>
      <c r="W26" s="99">
        <f>IF(W25=0,0,((AA12-$N17)*(AA8-W8)/($N$22-W8)+(AA13-$N18)*(AA9-W9)/($N$22-W9)+(AA14-$N19)*(AA10-W10)/($N$22-W10)+(AA15-$N20)*(AA11-W11)/($N$22-W11)))</f>
        <v>0</v>
      </c>
      <c r="X26" s="24" t="s">
        <v>493</v>
      </c>
      <c r="Y26" s="152"/>
      <c r="Z26" s="64"/>
      <c r="AA26" s="99">
        <f>IF(AA25=0,0,((AH12-$N17)*(AH8-AD8)/($N$22-AD8)+(AH13-$N18)*(AH9-AD9)/($N$22-AD9)+(AH14-$N19)*(AH10-AD10)/($N$22-AD10)+(AH15-$N20)*(AH11-AD11)/($N$22-AD11)))</f>
        <v>0</v>
      </c>
      <c r="AB26" s="24" t="s">
        <v>494</v>
      </c>
      <c r="AC26" s="76"/>
      <c r="AD26" s="73" t="s">
        <v>627</v>
      </c>
      <c r="AE26" s="64"/>
      <c r="AF26" s="64"/>
      <c r="AG26" s="64"/>
      <c r="AH26" s="64"/>
      <c r="AI26" s="64"/>
      <c r="AJ26" s="64"/>
      <c r="AK26" s="64"/>
      <c r="AL26" s="25" t="s">
        <v>21</v>
      </c>
      <c r="AM26" s="64"/>
      <c r="AN26" s="64"/>
      <c r="AO26" s="99">
        <f>IF(AO12=0,0,AO12-$N$17)</f>
        <v>0</v>
      </c>
      <c r="AP26" s="24" t="s">
        <v>495</v>
      </c>
      <c r="AQ26" s="81"/>
      <c r="AR26" s="53"/>
      <c r="AS26" s="257"/>
      <c r="AT26" s="258"/>
      <c r="AU26" s="258"/>
      <c r="AV26" s="258"/>
      <c r="AW26" s="258"/>
      <c r="AX26" s="258"/>
      <c r="AY26" s="259"/>
      <c r="AZ26" s="54"/>
    </row>
    <row r="27" spans="1:52" ht="15.75" customHeight="1">
      <c r="A27" s="53"/>
      <c r="B27" s="264"/>
      <c r="C27" s="265"/>
      <c r="D27" s="265"/>
      <c r="E27" s="265"/>
      <c r="F27" s="265"/>
      <c r="G27" s="265"/>
      <c r="H27" s="265"/>
      <c r="I27" s="265"/>
      <c r="J27" s="265"/>
      <c r="K27" s="265"/>
      <c r="L27" s="265"/>
      <c r="M27" s="265"/>
      <c r="N27" s="265"/>
      <c r="O27" s="265"/>
      <c r="P27" s="265"/>
      <c r="Q27" s="265"/>
      <c r="R27" s="266"/>
      <c r="S27" s="54"/>
      <c r="T27" s="82"/>
      <c r="U27" s="27" t="s">
        <v>566</v>
      </c>
      <c r="V27" s="25" t="s">
        <v>25</v>
      </c>
      <c r="W27" s="99">
        <f>(AA6-W6)*1400</f>
        <v>0</v>
      </c>
      <c r="X27" s="24" t="s">
        <v>642</v>
      </c>
      <c r="Y27" s="152"/>
      <c r="Z27" s="64"/>
      <c r="AA27" s="99">
        <f>(AH6-AD6)*1400</f>
        <v>0</v>
      </c>
      <c r="AB27" s="24" t="s">
        <v>644</v>
      </c>
      <c r="AC27" s="76"/>
      <c r="AD27" s="73" t="s">
        <v>568</v>
      </c>
      <c r="AE27" s="64"/>
      <c r="AF27" s="64"/>
      <c r="AG27" s="64"/>
      <c r="AH27" s="64"/>
      <c r="AI27" s="64"/>
      <c r="AJ27" s="64"/>
      <c r="AK27" s="64"/>
      <c r="AL27" s="25" t="s">
        <v>25</v>
      </c>
      <c r="AM27" s="64"/>
      <c r="AN27" s="64"/>
      <c r="AO27" s="99">
        <f>(AO6-AK6)*1400</f>
        <v>0</v>
      </c>
      <c r="AP27" s="24" t="s">
        <v>645</v>
      </c>
      <c r="AQ27" s="81"/>
      <c r="AR27" s="53"/>
      <c r="AS27" s="257"/>
      <c r="AT27" s="258"/>
      <c r="AU27" s="258"/>
      <c r="AV27" s="258"/>
      <c r="AW27" s="258"/>
      <c r="AX27" s="258"/>
      <c r="AY27" s="259"/>
      <c r="AZ27" s="54"/>
    </row>
    <row r="28" spans="1:52" ht="15.75" customHeight="1">
      <c r="A28" s="53"/>
      <c r="B28" s="226"/>
      <c r="C28" s="227"/>
      <c r="D28" s="227"/>
      <c r="E28" s="227"/>
      <c r="F28" s="227"/>
      <c r="G28" s="227"/>
      <c r="H28" s="227"/>
      <c r="I28" s="227"/>
      <c r="J28" s="227"/>
      <c r="K28" s="227"/>
      <c r="L28" s="227"/>
      <c r="M28" s="227"/>
      <c r="N28" s="227"/>
      <c r="O28" s="227"/>
      <c r="P28" s="227"/>
      <c r="Q28" s="227"/>
      <c r="R28" s="228"/>
      <c r="S28" s="54"/>
      <c r="T28" s="82"/>
      <c r="U28" s="27" t="s">
        <v>675</v>
      </c>
      <c r="V28" s="25" t="s">
        <v>25</v>
      </c>
      <c r="W28" s="99">
        <f>IF(N22=0,0,W27*75/(N22-W8))</f>
        <v>0</v>
      </c>
      <c r="X28" s="24" t="s">
        <v>676</v>
      </c>
      <c r="Y28" s="152"/>
      <c r="Z28" s="64"/>
      <c r="AA28" s="99">
        <f>IF(N22=0,0,AA27*75/(N22-AD8))</f>
        <v>0</v>
      </c>
      <c r="AB28" s="24" t="s">
        <v>677</v>
      </c>
      <c r="AC28" s="76"/>
      <c r="AD28" s="73" t="s">
        <v>33</v>
      </c>
      <c r="AE28" s="64"/>
      <c r="AF28" s="64"/>
      <c r="AG28" s="64"/>
      <c r="AH28" s="64"/>
      <c r="AI28" s="64"/>
      <c r="AJ28" s="64"/>
      <c r="AK28" s="64"/>
      <c r="AL28" s="25" t="s">
        <v>22</v>
      </c>
      <c r="AM28" s="64"/>
      <c r="AN28" s="64"/>
      <c r="AO28" s="238">
        <f>IF(AO24=0,0,(4.186*((AK12-$N17+AO26)/2)*(AO8-AK8)+2260*AO25)/(AO24*$E$20))</f>
        <v>0</v>
      </c>
      <c r="AP28" s="24" t="s">
        <v>498</v>
      </c>
      <c r="AQ28" s="81"/>
      <c r="AR28" s="53"/>
      <c r="AS28" s="94"/>
      <c r="AT28" s="56"/>
      <c r="AU28" s="56"/>
      <c r="AV28" s="56"/>
      <c r="AW28" s="56"/>
      <c r="AX28" s="56"/>
      <c r="AY28" s="95"/>
      <c r="AZ28" s="54"/>
    </row>
    <row r="29" spans="1:52" ht="15.75" customHeight="1">
      <c r="A29" s="53"/>
      <c r="B29" s="264"/>
      <c r="C29" s="265"/>
      <c r="D29" s="265"/>
      <c r="E29" s="265"/>
      <c r="F29" s="265"/>
      <c r="G29" s="265"/>
      <c r="H29" s="265"/>
      <c r="I29" s="265"/>
      <c r="J29" s="265"/>
      <c r="K29" s="265"/>
      <c r="L29" s="265"/>
      <c r="M29" s="265"/>
      <c r="N29" s="265"/>
      <c r="O29" s="265"/>
      <c r="P29" s="265"/>
      <c r="Q29" s="265"/>
      <c r="R29" s="266"/>
      <c r="S29" s="54"/>
      <c r="T29" s="82"/>
      <c r="U29" s="27" t="s">
        <v>33</v>
      </c>
      <c r="V29" s="25" t="s">
        <v>22</v>
      </c>
      <c r="W29" s="238">
        <f>IF(W24=0,0,(4.186*SUM((W12-$N17)*(AA8-W8),(W13-$N18)*(AA9-W9),(W14-$N19)*(AA10-W10),(W15-$N20)*(AA11-W11))+2260*W25)/(W24*$E20))</f>
        <v>0</v>
      </c>
      <c r="X29" s="24" t="s">
        <v>496</v>
      </c>
      <c r="Y29" s="152"/>
      <c r="Z29" s="64"/>
      <c r="AA29" s="238">
        <f>IF(AA24=0,0,(4.186*SUM((AD12-$N17)*(AH8-AD8),(AD13-$N18)*(AH9-AD9),(AD14-$N19)*(AH10-AD10),(AD15-$N20)*(AH11-AD11))+2260*AA25)/(AA24*$E20))</f>
        <v>0</v>
      </c>
      <c r="AB29" s="24" t="s">
        <v>497</v>
      </c>
      <c r="AC29" s="76"/>
      <c r="AD29" s="73" t="s">
        <v>6</v>
      </c>
      <c r="AE29" s="64"/>
      <c r="AF29" s="64"/>
      <c r="AG29" s="64"/>
      <c r="AH29" s="64"/>
      <c r="AI29" s="64"/>
      <c r="AJ29" s="64"/>
      <c r="AK29" s="64"/>
      <c r="AL29" s="25" t="s">
        <v>499</v>
      </c>
      <c r="AM29" s="64"/>
      <c r="AN29" s="64"/>
      <c r="AO29" s="99">
        <f>IF(AO27=0,0,AO24/AO27)</f>
        <v>0</v>
      </c>
      <c r="AP29" s="24" t="s">
        <v>502</v>
      </c>
      <c r="AQ29" s="81"/>
      <c r="AR29" s="53"/>
      <c r="AS29" s="94"/>
      <c r="AT29" s="56"/>
      <c r="AU29" s="56"/>
      <c r="AV29" s="56"/>
      <c r="AW29" s="56"/>
      <c r="AX29" s="56"/>
      <c r="AY29" s="95"/>
      <c r="AZ29" s="54"/>
    </row>
    <row r="30" spans="1:52" ht="15.75" customHeight="1">
      <c r="A30" s="53"/>
      <c r="B30" s="264"/>
      <c r="C30" s="265"/>
      <c r="D30" s="265"/>
      <c r="E30" s="265"/>
      <c r="F30" s="265"/>
      <c r="G30" s="265"/>
      <c r="H30" s="265"/>
      <c r="I30" s="265"/>
      <c r="J30" s="265"/>
      <c r="K30" s="265"/>
      <c r="L30" s="265"/>
      <c r="M30" s="265"/>
      <c r="N30" s="265"/>
      <c r="O30" s="265"/>
      <c r="P30" s="265"/>
      <c r="Q30" s="265"/>
      <c r="R30" s="266"/>
      <c r="S30" s="54"/>
      <c r="T30" s="82"/>
      <c r="U30" s="27" t="s">
        <v>6</v>
      </c>
      <c r="V30" s="25" t="s">
        <v>499</v>
      </c>
      <c r="W30" s="99">
        <f>IF(W27=0,0,W24/W27)</f>
        <v>0</v>
      </c>
      <c r="X30" s="25" t="s">
        <v>500</v>
      </c>
      <c r="Y30" s="152"/>
      <c r="Z30" s="64"/>
      <c r="AA30" s="99">
        <f>IF(AA27=0,0,AA24/AA27)</f>
        <v>0</v>
      </c>
      <c r="AB30" s="24" t="s">
        <v>501</v>
      </c>
      <c r="AC30" s="76"/>
      <c r="AD30" s="73" t="s">
        <v>8</v>
      </c>
      <c r="AE30" s="64"/>
      <c r="AF30" s="64"/>
      <c r="AG30" s="64"/>
      <c r="AH30" s="64"/>
      <c r="AI30" s="64"/>
      <c r="AJ30" s="64"/>
      <c r="AK30" s="64"/>
      <c r="AL30" s="25" t="s">
        <v>503</v>
      </c>
      <c r="AM30" s="64"/>
      <c r="AN30" s="64"/>
      <c r="AO30" s="99">
        <f>IF(AO26=0,0,AO24/AO26*1000)</f>
        <v>0</v>
      </c>
      <c r="AP30" s="24" t="s">
        <v>506</v>
      </c>
      <c r="AQ30" s="81"/>
      <c r="AR30" s="53"/>
      <c r="AS30" s="260"/>
      <c r="AT30" s="261"/>
      <c r="AU30" s="261"/>
      <c r="AV30" s="261"/>
      <c r="AW30" s="261"/>
      <c r="AX30" s="261"/>
      <c r="AY30" s="262"/>
      <c r="AZ30" s="54"/>
    </row>
    <row r="31" spans="1:52" ht="15.75" customHeight="1">
      <c r="A31" s="53"/>
      <c r="B31" s="264"/>
      <c r="C31" s="265"/>
      <c r="D31" s="265"/>
      <c r="E31" s="265"/>
      <c r="F31" s="265"/>
      <c r="G31" s="265"/>
      <c r="H31" s="265"/>
      <c r="I31" s="265"/>
      <c r="J31" s="265"/>
      <c r="K31" s="265"/>
      <c r="L31" s="265"/>
      <c r="M31" s="265"/>
      <c r="N31" s="265"/>
      <c r="O31" s="265"/>
      <c r="P31" s="265"/>
      <c r="Q31" s="265"/>
      <c r="R31" s="266"/>
      <c r="S31" s="54"/>
      <c r="T31" s="82"/>
      <c r="U31" s="27" t="s">
        <v>8</v>
      </c>
      <c r="V31" s="25" t="s">
        <v>503</v>
      </c>
      <c r="W31" s="99">
        <f>IF(W26=0,0,1000*W24/(SUM(W26:W26)))</f>
        <v>0</v>
      </c>
      <c r="X31" s="24" t="s">
        <v>504</v>
      </c>
      <c r="Y31" s="152"/>
      <c r="Z31" s="64"/>
      <c r="AA31" s="99">
        <f>IF(AA26=0,0,1000*AA24/(SUM(AA26:AA26)))</f>
        <v>0</v>
      </c>
      <c r="AB31" s="24" t="s">
        <v>505</v>
      </c>
      <c r="AC31" s="76"/>
      <c r="AD31" s="73" t="s">
        <v>10</v>
      </c>
      <c r="AE31" s="64"/>
      <c r="AF31" s="64"/>
      <c r="AG31" s="64"/>
      <c r="AH31" s="64"/>
      <c r="AI31" s="64"/>
      <c r="AJ31" s="64"/>
      <c r="AK31" s="64"/>
      <c r="AL31" s="25" t="s">
        <v>11</v>
      </c>
      <c r="AM31" s="64"/>
      <c r="AN31" s="64"/>
      <c r="AO31" s="99">
        <f>IF(AO27=0,0,AO24*$E$20/(AO27*60))</f>
        <v>0</v>
      </c>
      <c r="AP31" s="24" t="s">
        <v>510</v>
      </c>
      <c r="AQ31" s="81"/>
      <c r="AR31" s="53"/>
      <c r="AS31" s="260"/>
      <c r="AT31" s="261"/>
      <c r="AU31" s="261"/>
      <c r="AV31" s="261"/>
      <c r="AW31" s="261"/>
      <c r="AX31" s="261"/>
      <c r="AY31" s="262"/>
      <c r="AZ31" s="54"/>
    </row>
    <row r="32" spans="1:52" ht="15.75" customHeight="1">
      <c r="A32" s="53"/>
      <c r="B32" s="264"/>
      <c r="C32" s="265"/>
      <c r="D32" s="265"/>
      <c r="E32" s="265"/>
      <c r="F32" s="265"/>
      <c r="G32" s="265"/>
      <c r="H32" s="265"/>
      <c r="I32" s="265"/>
      <c r="J32" s="265"/>
      <c r="K32" s="265"/>
      <c r="L32" s="265"/>
      <c r="M32" s="265"/>
      <c r="N32" s="265"/>
      <c r="O32" s="265"/>
      <c r="P32" s="265"/>
      <c r="Q32" s="265"/>
      <c r="R32" s="266"/>
      <c r="S32" s="54"/>
      <c r="T32" s="82"/>
      <c r="U32" s="27" t="s">
        <v>623</v>
      </c>
      <c r="V32" s="25" t="s">
        <v>503</v>
      </c>
      <c r="W32" s="99">
        <f>IF(W26=0,0,W31*75/($N$22-W8))</f>
        <v>0</v>
      </c>
      <c r="X32" s="24" t="s">
        <v>508</v>
      </c>
      <c r="Y32" s="152"/>
      <c r="Z32" s="64"/>
      <c r="AA32" s="99">
        <f>IF(AA26=0,0,AA31*75/($N$22-AD8))</f>
        <v>0</v>
      </c>
      <c r="AB32" s="24" t="s">
        <v>509</v>
      </c>
      <c r="AC32" s="76"/>
      <c r="AD32" s="73" t="s">
        <v>34</v>
      </c>
      <c r="AE32" s="64"/>
      <c r="AF32" s="64"/>
      <c r="AG32" s="64"/>
      <c r="AH32" s="64"/>
      <c r="AI32" s="64"/>
      <c r="AJ32" s="64"/>
      <c r="AK32" s="64"/>
      <c r="AL32" s="67" t="s">
        <v>16</v>
      </c>
      <c r="AM32" s="64"/>
      <c r="AN32" s="64"/>
      <c r="AO32" s="100">
        <f>IF(AO31=0,0,W33/AO31)</f>
        <v>0</v>
      </c>
      <c r="AP32" s="25" t="s">
        <v>385</v>
      </c>
      <c r="AQ32" s="81"/>
      <c r="AR32" s="53"/>
      <c r="AS32" s="260"/>
      <c r="AT32" s="261"/>
      <c r="AU32" s="261"/>
      <c r="AV32" s="261"/>
      <c r="AW32" s="261"/>
      <c r="AX32" s="261"/>
      <c r="AY32" s="262"/>
      <c r="AZ32" s="54"/>
    </row>
    <row r="33" spans="1:52" ht="15.75" customHeight="1">
      <c r="A33" s="53"/>
      <c r="B33" s="264"/>
      <c r="C33" s="265"/>
      <c r="D33" s="265"/>
      <c r="E33" s="265"/>
      <c r="F33" s="265"/>
      <c r="G33" s="265"/>
      <c r="H33" s="265"/>
      <c r="I33" s="265"/>
      <c r="J33" s="265"/>
      <c r="K33" s="265"/>
      <c r="L33" s="265"/>
      <c r="M33" s="265"/>
      <c r="N33" s="265"/>
      <c r="O33" s="265"/>
      <c r="P33" s="265"/>
      <c r="Q33" s="265"/>
      <c r="R33" s="266"/>
      <c r="S33" s="54"/>
      <c r="T33" s="82"/>
      <c r="U33" s="27" t="s">
        <v>10</v>
      </c>
      <c r="V33" s="25" t="s">
        <v>11</v>
      </c>
      <c r="W33" s="99">
        <f>IF(W27=0,0,W24*$E$20/(W27*60))</f>
        <v>0</v>
      </c>
      <c r="X33" s="24" t="s">
        <v>511</v>
      </c>
      <c r="Y33" s="152"/>
      <c r="Z33" s="64"/>
      <c r="AA33" s="99">
        <f>IF(AA27=0,0,AA24*$E$20/(AA27*60))</f>
        <v>0</v>
      </c>
      <c r="AB33" s="24" t="s">
        <v>512</v>
      </c>
      <c r="AC33" s="76"/>
      <c r="AQ33" s="81"/>
      <c r="AR33" s="53"/>
      <c r="AS33" s="260"/>
      <c r="AT33" s="261"/>
      <c r="AU33" s="261"/>
      <c r="AV33" s="261"/>
      <c r="AW33" s="261"/>
      <c r="AX33" s="261"/>
      <c r="AY33" s="262"/>
      <c r="AZ33" s="54"/>
    </row>
    <row r="34" spans="1:52" ht="15.75" customHeight="1" thickBot="1">
      <c r="A34" s="53"/>
      <c r="B34" s="271"/>
      <c r="C34" s="272"/>
      <c r="D34" s="272"/>
      <c r="E34" s="272"/>
      <c r="F34" s="272"/>
      <c r="G34" s="272"/>
      <c r="H34" s="272"/>
      <c r="I34" s="272"/>
      <c r="J34" s="272"/>
      <c r="K34" s="272"/>
      <c r="L34" s="272"/>
      <c r="M34" s="272"/>
      <c r="N34" s="272"/>
      <c r="O34" s="272"/>
      <c r="P34" s="272"/>
      <c r="Q34" s="272"/>
      <c r="R34" s="273"/>
      <c r="S34" s="54"/>
      <c r="T34" s="82"/>
      <c r="U34" s="77"/>
      <c r="V34" s="77"/>
      <c r="W34" s="77"/>
      <c r="X34" s="77"/>
      <c r="Y34" s="151"/>
      <c r="Z34" s="77"/>
      <c r="AA34" s="77"/>
      <c r="AB34" s="77"/>
      <c r="AC34" s="101"/>
      <c r="AD34" s="77"/>
      <c r="AE34" s="77"/>
      <c r="AF34" s="77"/>
      <c r="AG34" s="77"/>
      <c r="AH34" s="77"/>
      <c r="AI34" s="77"/>
      <c r="AJ34" s="77"/>
      <c r="AK34" s="77"/>
      <c r="AL34" s="77"/>
      <c r="AM34" s="77"/>
      <c r="AN34" s="77"/>
      <c r="AO34" s="77"/>
      <c r="AP34" s="77"/>
      <c r="AQ34" s="81"/>
      <c r="AR34" s="53"/>
      <c r="AS34" s="267"/>
      <c r="AT34" s="268"/>
      <c r="AU34" s="268"/>
      <c r="AV34" s="268"/>
      <c r="AW34" s="268"/>
      <c r="AX34" s="268"/>
      <c r="AY34" s="269"/>
      <c r="AZ34" s="54"/>
    </row>
    <row r="35" spans="1:52" ht="13.5" thickBot="1">
      <c r="A35" s="65"/>
      <c r="B35" s="41" t="s">
        <v>600</v>
      </c>
      <c r="C35" s="41"/>
      <c r="D35" s="41"/>
      <c r="E35" s="41"/>
      <c r="F35" s="41"/>
      <c r="G35" s="41"/>
      <c r="H35" s="41"/>
      <c r="I35" s="41"/>
      <c r="J35" s="42"/>
      <c r="K35" s="42"/>
      <c r="L35" s="42"/>
      <c r="M35" s="42"/>
      <c r="N35" s="42"/>
      <c r="O35" s="42"/>
      <c r="P35" s="42"/>
      <c r="Q35" s="42"/>
      <c r="R35" s="42"/>
      <c r="S35" s="66"/>
      <c r="T35" s="83"/>
      <c r="U35" s="41" t="s">
        <v>601</v>
      </c>
      <c r="V35" s="84"/>
      <c r="W35" s="84"/>
      <c r="X35" s="85"/>
      <c r="Y35" s="85"/>
      <c r="Z35" s="85"/>
      <c r="AA35" s="86"/>
      <c r="AB35" s="87"/>
      <c r="AC35" s="84"/>
      <c r="AD35" s="84"/>
      <c r="AE35" s="84"/>
      <c r="AF35" s="84"/>
      <c r="AG35" s="84"/>
      <c r="AH35" s="84"/>
      <c r="AI35" s="84"/>
      <c r="AJ35" s="84"/>
      <c r="AK35" s="84"/>
      <c r="AL35" s="84"/>
      <c r="AM35" s="84"/>
      <c r="AN35" s="84"/>
      <c r="AO35" s="84"/>
      <c r="AP35" s="84"/>
      <c r="AQ35" s="88"/>
      <c r="AR35" s="65"/>
      <c r="AS35" s="277" t="s">
        <v>602</v>
      </c>
      <c r="AT35" s="277"/>
      <c r="AU35" s="277"/>
      <c r="AV35" s="277"/>
      <c r="AW35" s="277"/>
      <c r="AX35" s="277"/>
      <c r="AY35" s="277"/>
      <c r="AZ35" s="66"/>
    </row>
    <row r="36" spans="19:51" ht="14.25" customHeight="1" thickTop="1">
      <c r="S36" s="48"/>
      <c r="AS36" s="28"/>
      <c r="AT36" s="28"/>
      <c r="AU36" s="28"/>
      <c r="AV36" s="28"/>
      <c r="AW36" s="28"/>
      <c r="AX36" s="28"/>
      <c r="AY36" s="28"/>
    </row>
    <row r="37" ht="14.25" customHeight="1">
      <c r="AW37" s="31" t="s">
        <v>567</v>
      </c>
    </row>
    <row r="38" spans="45:51" ht="12.75">
      <c r="AS38" s="30"/>
      <c r="AT38" s="26"/>
      <c r="AU38" s="27"/>
      <c r="AW38" s="31"/>
      <c r="AX38" s="27"/>
      <c r="AY38" s="27"/>
    </row>
    <row r="39" spans="45:51" ht="18" customHeight="1">
      <c r="AS39" s="22"/>
      <c r="AT39" s="26"/>
      <c r="AU39" s="27"/>
      <c r="AW39" s="31"/>
      <c r="AX39" s="27"/>
      <c r="AY39" s="27"/>
    </row>
    <row r="40" spans="45:51" ht="27.75" customHeight="1">
      <c r="AS40" s="27"/>
      <c r="AT40" s="26"/>
      <c r="AU40" s="27"/>
      <c r="AW40" s="31"/>
      <c r="AX40" s="27"/>
      <c r="AY40" s="27"/>
    </row>
    <row r="41" ht="27.75" customHeight="1">
      <c r="AW41" s="31"/>
    </row>
    <row r="42" ht="27.75" customHeight="1">
      <c r="AW42" s="31"/>
    </row>
    <row r="43" ht="27.75" customHeight="1">
      <c r="AW43" s="31"/>
    </row>
    <row r="44" ht="27.75" customHeight="1">
      <c r="AW44" s="31"/>
    </row>
    <row r="46" spans="3:18" ht="27.75" customHeight="1">
      <c r="C46" s="29"/>
      <c r="H46" s="29"/>
      <c r="I46" s="29"/>
      <c r="J46" s="29"/>
      <c r="K46" s="29"/>
      <c r="L46" s="29"/>
      <c r="M46" s="29"/>
      <c r="N46" s="29"/>
      <c r="O46" s="29"/>
      <c r="P46" s="29"/>
      <c r="Q46" s="29"/>
      <c r="R46" s="29"/>
    </row>
    <row r="47" spans="3:18" ht="27.75" customHeight="1">
      <c r="C47" s="29"/>
      <c r="H47" s="29"/>
      <c r="I47" s="29"/>
      <c r="J47" s="29"/>
      <c r="K47" s="29"/>
      <c r="L47" s="29"/>
      <c r="M47" s="29"/>
      <c r="N47" s="29"/>
      <c r="O47" s="29"/>
      <c r="P47" s="29"/>
      <c r="Q47" s="29"/>
      <c r="R47" s="29"/>
    </row>
    <row r="48" spans="3:18" ht="27.75" customHeight="1">
      <c r="C48" s="29"/>
      <c r="H48" s="29"/>
      <c r="I48" s="29"/>
      <c r="J48" s="29"/>
      <c r="K48" s="29"/>
      <c r="L48" s="29"/>
      <c r="M48" s="29"/>
      <c r="N48" s="29"/>
      <c r="O48" s="29"/>
      <c r="P48" s="29"/>
      <c r="Q48" s="29"/>
      <c r="R48" s="29"/>
    </row>
    <row r="49" spans="3:18" ht="27.75" customHeight="1">
      <c r="C49" s="29"/>
      <c r="H49" s="29"/>
      <c r="I49" s="29"/>
      <c r="J49" s="29"/>
      <c r="K49" s="29"/>
      <c r="L49" s="29"/>
      <c r="M49" s="29"/>
      <c r="N49" s="29"/>
      <c r="O49" s="29"/>
      <c r="P49" s="29"/>
      <c r="Q49" s="29"/>
      <c r="R49" s="29"/>
    </row>
    <row r="50" spans="4:7" ht="27.75" customHeight="1">
      <c r="D50" s="26"/>
      <c r="E50" s="68"/>
      <c r="F50" s="27"/>
      <c r="G50" s="27"/>
    </row>
    <row r="51" spans="2:18" ht="27.75" customHeight="1">
      <c r="B51" s="30"/>
      <c r="C51" s="29"/>
      <c r="D51" s="26"/>
      <c r="E51" s="27"/>
      <c r="H51" s="29"/>
      <c r="I51" s="29"/>
      <c r="J51" s="29"/>
      <c r="K51" s="29"/>
      <c r="L51" s="29"/>
      <c r="M51" s="29"/>
      <c r="N51" s="29"/>
      <c r="O51" s="29"/>
      <c r="P51" s="29"/>
      <c r="Q51" s="29"/>
      <c r="R51" s="29"/>
    </row>
  </sheetData>
  <sheetProtection formatCells="0"/>
  <mergeCells count="72">
    <mergeCell ref="B34:R34"/>
    <mergeCell ref="AS35:AY35"/>
    <mergeCell ref="E25:R25"/>
    <mergeCell ref="B27:R27"/>
    <mergeCell ref="B32:R32"/>
    <mergeCell ref="AS32:AY32"/>
    <mergeCell ref="B33:R33"/>
    <mergeCell ref="AS33:AY33"/>
    <mergeCell ref="B30:R30"/>
    <mergeCell ref="AS30:AY30"/>
    <mergeCell ref="AK2:AP2"/>
    <mergeCell ref="AK3:AL3"/>
    <mergeCell ref="AO3:AP3"/>
    <mergeCell ref="AA4:AB4"/>
    <mergeCell ref="AH4:AI4"/>
    <mergeCell ref="AK4:AL4"/>
    <mergeCell ref="AO4:AP4"/>
    <mergeCell ref="W2:AB2"/>
    <mergeCell ref="AD2:AI2"/>
    <mergeCell ref="W3:X3"/>
    <mergeCell ref="AA3:AB3"/>
    <mergeCell ref="AD3:AE3"/>
    <mergeCell ref="AH3:AI3"/>
    <mergeCell ref="B31:R31"/>
    <mergeCell ref="B18:D18"/>
    <mergeCell ref="AS31:AY31"/>
    <mergeCell ref="B29:R29"/>
    <mergeCell ref="AS26:AY26"/>
    <mergeCell ref="AS27:AY27"/>
    <mergeCell ref="B26:R26"/>
    <mergeCell ref="AS23:AY23"/>
    <mergeCell ref="B20:D20"/>
    <mergeCell ref="K20:M20"/>
    <mergeCell ref="AS20:AY20"/>
    <mergeCell ref="B21:D21"/>
    <mergeCell ref="K21:M21"/>
    <mergeCell ref="AS21:AY21"/>
    <mergeCell ref="B22:D22"/>
    <mergeCell ref="K22:M22"/>
    <mergeCell ref="AS22:AY22"/>
    <mergeCell ref="AS18:AY18"/>
    <mergeCell ref="B19:D19"/>
    <mergeCell ref="K19:M19"/>
    <mergeCell ref="AS19:AY19"/>
    <mergeCell ref="K18:M18"/>
    <mergeCell ref="AS5:AY5"/>
    <mergeCell ref="D6:K6"/>
    <mergeCell ref="M6:R9"/>
    <mergeCell ref="B16:D16"/>
    <mergeCell ref="AS10:AY10"/>
    <mergeCell ref="AS11:AY11"/>
    <mergeCell ref="AS12:AY12"/>
    <mergeCell ref="AS15:AY15"/>
    <mergeCell ref="W16:X16"/>
    <mergeCell ref="AD16:AE16"/>
    <mergeCell ref="AS8:AY8"/>
    <mergeCell ref="B17:D17"/>
    <mergeCell ref="K17:M17"/>
    <mergeCell ref="AS16:AY16"/>
    <mergeCell ref="AK16:AL16"/>
    <mergeCell ref="D12:I12"/>
    <mergeCell ref="D13:I13"/>
    <mergeCell ref="A2:S2"/>
    <mergeCell ref="AS34:AY34"/>
    <mergeCell ref="D7:K7"/>
    <mergeCell ref="D8:K8"/>
    <mergeCell ref="D9:K9"/>
    <mergeCell ref="D10:K10"/>
    <mergeCell ref="D11:K11"/>
    <mergeCell ref="AS9:AY9"/>
    <mergeCell ref="AS4:AY4"/>
    <mergeCell ref="AS6:AY6"/>
  </mergeCells>
  <printOptions/>
  <pageMargins left="0.75" right="0.75" top="0.75" bottom="0.75" header="0.5" footer="0.5"/>
  <pageSetup horizontalDpi="1200" verticalDpi="1200" orientation="landscape" scale="96" r:id="rId4"/>
  <headerFooter alignWithMargins="0">
    <oddFooter>&amp;L&amp;F&amp;C&amp;A&amp;RPage &amp;P</oddFooter>
  </headerFooter>
  <rowBreaks count="1" manualBreakCount="1">
    <brk id="36" max="255" man="1"/>
  </rowBreaks>
  <colBreaks count="2" manualBreakCount="2">
    <brk id="19" max="34" man="1"/>
    <brk id="43" max="34" man="1"/>
  </colBreaks>
  <drawing r:id="rId3"/>
  <legacyDrawing r:id="rId2"/>
</worksheet>
</file>

<file path=xl/worksheets/sheet3.xml><?xml version="1.0" encoding="utf-8"?>
<worksheet xmlns="http://schemas.openxmlformats.org/spreadsheetml/2006/main" xmlns:r="http://schemas.openxmlformats.org/officeDocument/2006/relationships">
  <dimension ref="A1:ED51"/>
  <sheetViews>
    <sheetView showGridLines="0" showZeros="0" view="pageBreakPreview" zoomScaleNormal="70" zoomScaleSheetLayoutView="100" workbookViewId="0" topLeftCell="A1">
      <selection activeCell="E20" sqref="E20"/>
    </sheetView>
  </sheetViews>
  <sheetFormatPr defaultColWidth="9.140625" defaultRowHeight="27.75" customHeight="1"/>
  <cols>
    <col min="1" max="1" width="1.7109375" style="29" customWidth="1"/>
    <col min="2" max="2" width="14.57421875" style="29" customWidth="1"/>
    <col min="3" max="3" width="6.57421875" style="27" customWidth="1"/>
    <col min="4" max="4" width="12.7109375" style="29" customWidth="1"/>
    <col min="5" max="5" width="7.7109375" style="29" customWidth="1"/>
    <col min="6" max="6" width="2.00390625" style="29" customWidth="1"/>
    <col min="7" max="7" width="5.28125" style="29" customWidth="1"/>
    <col min="8" max="8" width="2.00390625" style="27" customWidth="1"/>
    <col min="9" max="9" width="7.28125" style="27" customWidth="1"/>
    <col min="10" max="10" width="1.7109375" style="27" customWidth="1"/>
    <col min="11" max="11" width="14.421875" style="27" customWidth="1"/>
    <col min="12" max="12" width="5.7109375" style="27" customWidth="1"/>
    <col min="13" max="13" width="14.57421875" style="27" customWidth="1"/>
    <col min="14" max="14" width="7.7109375" style="27" customWidth="1"/>
    <col min="15" max="15" width="2.00390625" style="27" customWidth="1"/>
    <col min="16" max="16" width="5.28125" style="27" customWidth="1"/>
    <col min="17" max="17" width="2.00390625" style="27" customWidth="1"/>
    <col min="18" max="18" width="7.28125" style="27" customWidth="1"/>
    <col min="19" max="19" width="1.7109375" style="29" customWidth="1"/>
    <col min="20" max="20" width="1.7109375" style="47" customWidth="1"/>
    <col min="21" max="21" width="25.421875" style="47" customWidth="1"/>
    <col min="22" max="22" width="5.421875" style="47" customWidth="1"/>
    <col min="23" max="23" width="8.7109375" style="47" customWidth="1"/>
    <col min="24" max="24" width="5.00390625" style="47" customWidth="1"/>
    <col min="25" max="26" width="0.85546875" style="47" customWidth="1"/>
    <col min="27" max="27" width="8.7109375" style="47" customWidth="1"/>
    <col min="28" max="28" width="5.00390625" style="47" customWidth="1"/>
    <col min="29" max="29" width="0.85546875" style="47" customWidth="1"/>
    <col min="30" max="30" width="8.140625" style="47" customWidth="1"/>
    <col min="31" max="31" width="4.7109375" style="47" customWidth="1"/>
    <col min="32" max="33" width="0.85546875" style="47" customWidth="1"/>
    <col min="34" max="34" width="8.140625" style="47" customWidth="1"/>
    <col min="35" max="35" width="5.00390625" style="47" customWidth="1"/>
    <col min="36" max="36" width="0.85546875" style="47" customWidth="1"/>
    <col min="37" max="37" width="8.140625" style="47" customWidth="1"/>
    <col min="38" max="38" width="4.7109375" style="47" customWidth="1"/>
    <col min="39" max="40" width="0.9921875" style="47" customWidth="1"/>
    <col min="41" max="41" width="8.140625" style="47" customWidth="1"/>
    <col min="42" max="42" width="6.140625" style="47" customWidth="1"/>
    <col min="43" max="43" width="1.7109375" style="47" customWidth="1"/>
    <col min="44" max="44" width="1.8515625" style="29" customWidth="1"/>
    <col min="45" max="51" width="16.8515625" style="29" customWidth="1"/>
    <col min="52" max="52" width="1.8515625" style="29" customWidth="1"/>
    <col min="53"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2" width="1.7109375" style="0" customWidth="1"/>
    <col min="63" max="63" width="33.7109375" style="0" customWidth="1"/>
    <col min="64" max="64" width="5.8515625" style="0" customWidth="1"/>
    <col min="65" max="65" width="6.421875" style="0" customWidth="1"/>
    <col min="66" max="66" width="5.421875" style="0" customWidth="1"/>
    <col min="67" max="67" width="6.7109375" style="0" customWidth="1"/>
    <col min="68" max="68" width="7.421875" style="0" customWidth="1"/>
    <col min="69" max="69" width="20.8515625" style="0" customWidth="1"/>
    <col min="70" max="70" width="1.7109375" style="0" hidden="1" customWidth="1"/>
    <col min="80" max="131" width="15.7109375" style="0" customWidth="1"/>
    <col min="132" max="16384" width="15.7109375" style="29" customWidth="1"/>
  </cols>
  <sheetData>
    <row r="1" spans="1:134" ht="6" customHeight="1" thickBot="1" thickTop="1">
      <c r="A1" s="127"/>
      <c r="B1" s="48"/>
      <c r="C1" s="48"/>
      <c r="D1" s="48"/>
      <c r="E1" s="48"/>
      <c r="F1" s="48"/>
      <c r="G1" s="48"/>
      <c r="H1" s="48"/>
      <c r="I1" s="48"/>
      <c r="J1" s="48"/>
      <c r="K1" s="48"/>
      <c r="L1" s="48"/>
      <c r="M1" s="48"/>
      <c r="N1" s="48"/>
      <c r="O1" s="48"/>
      <c r="P1" s="48"/>
      <c r="Q1" s="48"/>
      <c r="R1" s="48"/>
      <c r="S1" s="49"/>
      <c r="T1" s="78"/>
      <c r="U1" s="79"/>
      <c r="V1" s="79"/>
      <c r="W1" s="79"/>
      <c r="X1" s="79"/>
      <c r="Y1" s="79"/>
      <c r="Z1" s="79"/>
      <c r="AA1" s="79"/>
      <c r="AB1" s="79"/>
      <c r="AC1" s="79"/>
      <c r="AD1" s="79"/>
      <c r="AE1" s="79"/>
      <c r="AF1" s="79"/>
      <c r="AG1" s="79"/>
      <c r="AH1" s="79"/>
      <c r="AI1" s="79"/>
      <c r="AJ1" s="79"/>
      <c r="AK1" s="79"/>
      <c r="AL1" s="79"/>
      <c r="AM1" s="79"/>
      <c r="AN1" s="79"/>
      <c r="AO1" s="79"/>
      <c r="AP1" s="79"/>
      <c r="AQ1" s="80"/>
      <c r="AR1" s="78"/>
      <c r="AS1" s="79"/>
      <c r="AT1" s="79"/>
      <c r="AU1" s="48"/>
      <c r="AV1" s="48"/>
      <c r="AW1" s="48"/>
      <c r="AX1" s="48"/>
      <c r="AY1" s="48"/>
      <c r="AZ1" s="49"/>
      <c r="BA1" s="48"/>
      <c r="BB1" s="48"/>
      <c r="BC1" s="49"/>
      <c r="EB1"/>
      <c r="EC1"/>
      <c r="ED1"/>
    </row>
    <row r="2" spans="1:52" ht="12.75" thickBot="1">
      <c r="A2" s="253" t="s">
        <v>36</v>
      </c>
      <c r="B2" s="254"/>
      <c r="C2" s="254"/>
      <c r="D2" s="254"/>
      <c r="E2" s="254"/>
      <c r="F2" s="254"/>
      <c r="G2" s="254"/>
      <c r="H2" s="254"/>
      <c r="I2" s="254"/>
      <c r="J2" s="254"/>
      <c r="K2" s="254"/>
      <c r="L2" s="254"/>
      <c r="M2" s="254"/>
      <c r="N2" s="254"/>
      <c r="O2" s="254"/>
      <c r="P2" s="254"/>
      <c r="Q2" s="254"/>
      <c r="R2" s="254"/>
      <c r="S2" s="255"/>
      <c r="T2" s="82"/>
      <c r="U2" s="139"/>
      <c r="V2" s="137"/>
      <c r="W2" s="278" t="s">
        <v>680</v>
      </c>
      <c r="X2" s="279"/>
      <c r="Y2" s="279"/>
      <c r="Z2" s="279"/>
      <c r="AA2" s="279"/>
      <c r="AB2" s="280"/>
      <c r="AC2" s="138"/>
      <c r="AD2" s="278" t="s">
        <v>681</v>
      </c>
      <c r="AE2" s="279"/>
      <c r="AF2" s="279"/>
      <c r="AG2" s="279"/>
      <c r="AH2" s="279"/>
      <c r="AI2" s="280"/>
      <c r="AJ2" s="64"/>
      <c r="AK2" s="278" t="s">
        <v>589</v>
      </c>
      <c r="AL2" s="279"/>
      <c r="AM2" s="279"/>
      <c r="AN2" s="279"/>
      <c r="AO2" s="279"/>
      <c r="AP2" s="280"/>
      <c r="AQ2" s="81"/>
      <c r="AR2" s="75"/>
      <c r="AS2" s="27"/>
      <c r="AT2" s="160"/>
      <c r="AU2" s="27"/>
      <c r="AV2" s="27"/>
      <c r="AW2" s="27"/>
      <c r="AX2" s="27"/>
      <c r="AY2" s="27"/>
      <c r="AZ2" s="54"/>
    </row>
    <row r="3" spans="1:52" ht="12">
      <c r="A3" s="51"/>
      <c r="B3" s="21" t="s">
        <v>629</v>
      </c>
      <c r="C3" s="21"/>
      <c r="D3" s="21"/>
      <c r="E3" s="21"/>
      <c r="F3" s="21"/>
      <c r="G3" s="21"/>
      <c r="H3" s="21"/>
      <c r="I3" s="21"/>
      <c r="J3" s="21"/>
      <c r="K3" s="21"/>
      <c r="L3" s="21"/>
      <c r="M3" s="21"/>
      <c r="N3" s="21"/>
      <c r="O3" s="21"/>
      <c r="P3" s="21"/>
      <c r="Q3" s="21"/>
      <c r="R3" s="21"/>
      <c r="S3" s="52"/>
      <c r="T3" s="141"/>
      <c r="U3" s="133"/>
      <c r="V3" s="76"/>
      <c r="W3" s="283" t="s">
        <v>26</v>
      </c>
      <c r="X3" s="284"/>
      <c r="Y3" s="146"/>
      <c r="Z3" s="64"/>
      <c r="AA3" s="284" t="s">
        <v>592</v>
      </c>
      <c r="AB3" s="296"/>
      <c r="AC3" s="138"/>
      <c r="AD3" s="283" t="s">
        <v>26</v>
      </c>
      <c r="AE3" s="284"/>
      <c r="AF3" s="146"/>
      <c r="AG3" s="64"/>
      <c r="AH3" s="284" t="s">
        <v>592</v>
      </c>
      <c r="AI3" s="296"/>
      <c r="AJ3" s="138"/>
      <c r="AK3" s="298" t="s">
        <v>633</v>
      </c>
      <c r="AL3" s="299"/>
      <c r="AM3" s="146"/>
      <c r="AN3" s="64"/>
      <c r="AO3" s="299" t="s">
        <v>628</v>
      </c>
      <c r="AP3" s="300"/>
      <c r="AQ3" s="81"/>
      <c r="AR3" s="53"/>
      <c r="AS3" s="37" t="s">
        <v>595</v>
      </c>
      <c r="AT3" s="91"/>
      <c r="AU3" s="91"/>
      <c r="AV3" s="91"/>
      <c r="AW3" s="91"/>
      <c r="AX3" s="91"/>
      <c r="AY3" s="92"/>
      <c r="AZ3" s="54"/>
    </row>
    <row r="4" spans="1:52" ht="12">
      <c r="A4" s="53"/>
      <c r="B4" s="39" t="s">
        <v>468</v>
      </c>
      <c r="C4" s="39"/>
      <c r="D4" s="39"/>
      <c r="E4" s="39"/>
      <c r="F4" s="39"/>
      <c r="G4" s="39"/>
      <c r="H4" s="39"/>
      <c r="I4" s="39"/>
      <c r="J4" s="38"/>
      <c r="K4" s="38"/>
      <c r="L4" s="38"/>
      <c r="M4" s="38"/>
      <c r="N4" s="38"/>
      <c r="O4" s="38"/>
      <c r="P4" s="38"/>
      <c r="Q4" s="38"/>
      <c r="R4" s="38"/>
      <c r="S4" s="54"/>
      <c r="T4" s="142"/>
      <c r="U4" s="134"/>
      <c r="V4" s="125"/>
      <c r="W4" s="155"/>
      <c r="X4" s="155"/>
      <c r="Y4" s="156"/>
      <c r="Z4" s="154"/>
      <c r="AA4" s="251" t="s">
        <v>591</v>
      </c>
      <c r="AB4" s="275"/>
      <c r="AC4" s="138"/>
      <c r="AD4" s="155"/>
      <c r="AE4" s="155"/>
      <c r="AF4" s="156"/>
      <c r="AG4" s="154"/>
      <c r="AH4" s="251" t="s">
        <v>591</v>
      </c>
      <c r="AI4" s="275"/>
      <c r="AJ4" s="138"/>
      <c r="AK4" s="246" t="s">
        <v>591</v>
      </c>
      <c r="AL4" s="247"/>
      <c r="AM4" s="157"/>
      <c r="AN4" s="155"/>
      <c r="AO4" s="247" t="s">
        <v>590</v>
      </c>
      <c r="AP4" s="301"/>
      <c r="AQ4" s="81"/>
      <c r="AR4" s="53"/>
      <c r="AS4" s="257"/>
      <c r="AT4" s="258"/>
      <c r="AU4" s="258"/>
      <c r="AV4" s="258"/>
      <c r="AW4" s="258"/>
      <c r="AX4" s="258"/>
      <c r="AY4" s="259"/>
      <c r="AZ4" s="54"/>
    </row>
    <row r="5" spans="1:52" ht="12.75" thickBot="1">
      <c r="A5" s="53"/>
      <c r="B5" s="43" t="s">
        <v>23</v>
      </c>
      <c r="D5" s="27"/>
      <c r="E5" s="27"/>
      <c r="F5" s="27"/>
      <c r="G5" s="27"/>
      <c r="S5" s="54"/>
      <c r="T5" s="142"/>
      <c r="U5" s="143" t="s">
        <v>581</v>
      </c>
      <c r="V5" s="128" t="s">
        <v>7</v>
      </c>
      <c r="W5" s="144" t="s">
        <v>27</v>
      </c>
      <c r="X5" s="144" t="s">
        <v>28</v>
      </c>
      <c r="Y5" s="147"/>
      <c r="Z5" s="144"/>
      <c r="AA5" s="144" t="s">
        <v>27</v>
      </c>
      <c r="AB5" s="128" t="s">
        <v>28</v>
      </c>
      <c r="AC5" s="138"/>
      <c r="AD5" s="144" t="s">
        <v>27</v>
      </c>
      <c r="AE5" s="144" t="s">
        <v>28</v>
      </c>
      <c r="AF5" s="151"/>
      <c r="AG5" s="77"/>
      <c r="AH5" s="144" t="s">
        <v>27</v>
      </c>
      <c r="AI5" s="128" t="s">
        <v>28</v>
      </c>
      <c r="AJ5" s="138"/>
      <c r="AK5" s="144" t="s">
        <v>27</v>
      </c>
      <c r="AL5" s="144" t="s">
        <v>28</v>
      </c>
      <c r="AM5" s="151"/>
      <c r="AN5" s="77"/>
      <c r="AO5" s="144" t="s">
        <v>27</v>
      </c>
      <c r="AP5" s="128" t="s">
        <v>28</v>
      </c>
      <c r="AQ5" s="81"/>
      <c r="AR5" s="53"/>
      <c r="AS5" s="260"/>
      <c r="AT5" s="261"/>
      <c r="AU5" s="261"/>
      <c r="AV5" s="261"/>
      <c r="AW5" s="261"/>
      <c r="AX5" s="261"/>
      <c r="AY5" s="262"/>
      <c r="AZ5" s="54"/>
    </row>
    <row r="6" spans="1:52" ht="15.75" customHeight="1">
      <c r="A6" s="53"/>
      <c r="B6" s="27" t="s">
        <v>24</v>
      </c>
      <c r="D6" s="258"/>
      <c r="E6" s="258"/>
      <c r="F6" s="258"/>
      <c r="G6" s="258"/>
      <c r="H6" s="258"/>
      <c r="I6" s="258"/>
      <c r="J6" s="258"/>
      <c r="K6" s="258"/>
      <c r="M6" s="270" t="s">
        <v>630</v>
      </c>
      <c r="N6" s="270"/>
      <c r="O6" s="270"/>
      <c r="P6" s="270"/>
      <c r="Q6" s="270"/>
      <c r="R6" s="270"/>
      <c r="S6" s="54"/>
      <c r="T6" s="142"/>
      <c r="U6" s="125" t="s">
        <v>686</v>
      </c>
      <c r="V6" s="119" t="s">
        <v>685</v>
      </c>
      <c r="W6" s="237"/>
      <c r="X6" s="24" t="s">
        <v>478</v>
      </c>
      <c r="Y6" s="148"/>
      <c r="Z6" s="24"/>
      <c r="AA6" s="237"/>
      <c r="AB6" s="124" t="s">
        <v>479</v>
      </c>
      <c r="AC6" s="138"/>
      <c r="AD6" s="237"/>
      <c r="AE6" s="24" t="s">
        <v>480</v>
      </c>
      <c r="AF6" s="152"/>
      <c r="AG6" s="64"/>
      <c r="AH6" s="237"/>
      <c r="AI6" s="124" t="s">
        <v>481</v>
      </c>
      <c r="AJ6" s="138"/>
      <c r="AK6" s="237"/>
      <c r="AL6" s="24" t="s">
        <v>482</v>
      </c>
      <c r="AM6" s="152"/>
      <c r="AN6" s="64"/>
      <c r="AO6" s="237"/>
      <c r="AP6" s="124" t="s">
        <v>483</v>
      </c>
      <c r="AQ6" s="81"/>
      <c r="AR6" s="53"/>
      <c r="AS6" s="260"/>
      <c r="AT6" s="261"/>
      <c r="AU6" s="261"/>
      <c r="AV6" s="261"/>
      <c r="AW6" s="261"/>
      <c r="AX6" s="261"/>
      <c r="AY6" s="262"/>
      <c r="AZ6" s="54"/>
    </row>
    <row r="7" spans="1:52" ht="15.75" customHeight="1">
      <c r="A7" s="53"/>
      <c r="B7" s="27"/>
      <c r="D7" s="261"/>
      <c r="E7" s="261"/>
      <c r="F7" s="261"/>
      <c r="G7" s="261"/>
      <c r="H7" s="261"/>
      <c r="I7" s="261"/>
      <c r="J7" s="261"/>
      <c r="K7" s="261"/>
      <c r="M7" s="270"/>
      <c r="N7" s="270"/>
      <c r="O7" s="270"/>
      <c r="P7" s="270"/>
      <c r="Q7" s="270"/>
      <c r="R7" s="270"/>
      <c r="S7" s="54"/>
      <c r="T7" s="142"/>
      <c r="U7" s="125" t="s">
        <v>3</v>
      </c>
      <c r="V7" s="119" t="s">
        <v>21</v>
      </c>
      <c r="W7" s="55"/>
      <c r="X7" s="24" t="s">
        <v>469</v>
      </c>
      <c r="Y7" s="148"/>
      <c r="Z7" s="24"/>
      <c r="AA7" s="55"/>
      <c r="AB7" s="124" t="s">
        <v>470</v>
      </c>
      <c r="AC7" s="138"/>
      <c r="AD7" s="55"/>
      <c r="AE7" s="24" t="s">
        <v>471</v>
      </c>
      <c r="AF7" s="152"/>
      <c r="AG7" s="64"/>
      <c r="AH7" s="55"/>
      <c r="AI7" s="124" t="s">
        <v>472</v>
      </c>
      <c r="AJ7" s="138"/>
      <c r="AK7" s="55"/>
      <c r="AL7" s="24" t="s">
        <v>473</v>
      </c>
      <c r="AM7" s="152"/>
      <c r="AN7" s="64"/>
      <c r="AO7" s="55"/>
      <c r="AP7" s="124" t="s">
        <v>474</v>
      </c>
      <c r="AQ7" s="81"/>
      <c r="AR7" s="53"/>
      <c r="AS7" s="94"/>
      <c r="AT7" s="56"/>
      <c r="AU7" s="56"/>
      <c r="AV7" s="56"/>
      <c r="AW7" s="56"/>
      <c r="AX7" s="56"/>
      <c r="AY7" s="95"/>
      <c r="AZ7" s="54"/>
    </row>
    <row r="8" spans="1:52" ht="15.75" customHeight="1">
      <c r="A8" s="53"/>
      <c r="B8" s="27" t="s">
        <v>0</v>
      </c>
      <c r="D8" s="261"/>
      <c r="E8" s="261"/>
      <c r="F8" s="261"/>
      <c r="G8" s="261"/>
      <c r="H8" s="261"/>
      <c r="I8" s="261"/>
      <c r="J8" s="261"/>
      <c r="K8" s="261"/>
      <c r="M8" s="270"/>
      <c r="N8" s="270"/>
      <c r="O8" s="270"/>
      <c r="P8" s="270"/>
      <c r="Q8" s="270"/>
      <c r="R8" s="270"/>
      <c r="S8" s="54"/>
      <c r="T8" s="142"/>
      <c r="U8" s="125" t="s">
        <v>4</v>
      </c>
      <c r="V8" s="119" t="s">
        <v>580</v>
      </c>
      <c r="W8" s="213"/>
      <c r="X8" s="214" t="s">
        <v>521</v>
      </c>
      <c r="Y8" s="215"/>
      <c r="Z8" s="214"/>
      <c r="AA8" s="213"/>
      <c r="AB8" s="216" t="s">
        <v>522</v>
      </c>
      <c r="AC8" s="217"/>
      <c r="AD8" s="213"/>
      <c r="AE8" s="214" t="s">
        <v>547</v>
      </c>
      <c r="AF8" s="218"/>
      <c r="AG8" s="219"/>
      <c r="AH8" s="213"/>
      <c r="AI8" s="124" t="s">
        <v>548</v>
      </c>
      <c r="AJ8" s="138"/>
      <c r="AK8" s="211"/>
      <c r="AL8" s="24" t="s">
        <v>549</v>
      </c>
      <c r="AM8" s="152"/>
      <c r="AN8" s="64"/>
      <c r="AO8" s="213"/>
      <c r="AP8" s="124" t="s">
        <v>550</v>
      </c>
      <c r="AQ8" s="81"/>
      <c r="AR8" s="53"/>
      <c r="AS8" s="260"/>
      <c r="AT8" s="261"/>
      <c r="AU8" s="261"/>
      <c r="AV8" s="261"/>
      <c r="AW8" s="261"/>
      <c r="AX8" s="261"/>
      <c r="AY8" s="262"/>
      <c r="AZ8" s="54"/>
    </row>
    <row r="9" spans="1:52" ht="15.75" customHeight="1">
      <c r="A9" s="53"/>
      <c r="B9" s="27" t="s">
        <v>1</v>
      </c>
      <c r="D9" s="292"/>
      <c r="E9" s="292"/>
      <c r="F9" s="292"/>
      <c r="G9" s="292"/>
      <c r="H9" s="292"/>
      <c r="I9" s="292"/>
      <c r="J9" s="292"/>
      <c r="K9" s="292"/>
      <c r="M9" s="270"/>
      <c r="N9" s="270"/>
      <c r="O9" s="270"/>
      <c r="P9" s="270"/>
      <c r="Q9" s="270"/>
      <c r="R9" s="270"/>
      <c r="S9" s="54"/>
      <c r="T9" s="142"/>
      <c r="U9" s="135" t="s">
        <v>518</v>
      </c>
      <c r="V9" s="119" t="s">
        <v>580</v>
      </c>
      <c r="W9" s="213"/>
      <c r="X9" s="214" t="s">
        <v>523</v>
      </c>
      <c r="Y9" s="215"/>
      <c r="Z9" s="214"/>
      <c r="AA9" s="213"/>
      <c r="AB9" s="216" t="s">
        <v>524</v>
      </c>
      <c r="AC9" s="217"/>
      <c r="AD9" s="213"/>
      <c r="AE9" s="214" t="s">
        <v>551</v>
      </c>
      <c r="AF9" s="218"/>
      <c r="AG9" s="219"/>
      <c r="AH9" s="213"/>
      <c r="AI9" s="124" t="s">
        <v>552</v>
      </c>
      <c r="AJ9" s="138"/>
      <c r="AK9"/>
      <c r="AL9"/>
      <c r="AM9" s="152"/>
      <c r="AN9"/>
      <c r="AO9"/>
      <c r="AP9" s="124"/>
      <c r="AQ9" s="81"/>
      <c r="AR9" s="53"/>
      <c r="AS9" s="260"/>
      <c r="AT9" s="261"/>
      <c r="AU9" s="261"/>
      <c r="AV9" s="261"/>
      <c r="AW9" s="261"/>
      <c r="AX9" s="261"/>
      <c r="AY9" s="262"/>
      <c r="AZ9" s="54"/>
    </row>
    <row r="10" spans="1:52" ht="15.75" customHeight="1">
      <c r="A10" s="53"/>
      <c r="B10" s="27" t="s">
        <v>14</v>
      </c>
      <c r="D10" s="261"/>
      <c r="E10" s="261"/>
      <c r="F10" s="261"/>
      <c r="G10" s="261"/>
      <c r="H10" s="261"/>
      <c r="I10" s="261"/>
      <c r="J10" s="261"/>
      <c r="K10" s="261"/>
      <c r="S10" s="54"/>
      <c r="T10" s="142"/>
      <c r="U10" s="135" t="s">
        <v>519</v>
      </c>
      <c r="V10" s="119" t="s">
        <v>580</v>
      </c>
      <c r="W10" s="213"/>
      <c r="X10" s="214" t="s">
        <v>525</v>
      </c>
      <c r="Y10" s="215"/>
      <c r="Z10" s="214"/>
      <c r="AA10" s="213"/>
      <c r="AB10" s="216" t="s">
        <v>526</v>
      </c>
      <c r="AC10" s="217"/>
      <c r="AD10" s="213"/>
      <c r="AE10" s="214" t="s">
        <v>553</v>
      </c>
      <c r="AF10" s="218"/>
      <c r="AG10" s="219"/>
      <c r="AH10" s="213"/>
      <c r="AI10" s="124" t="s">
        <v>554</v>
      </c>
      <c r="AJ10" s="138"/>
      <c r="AK10"/>
      <c r="AL10"/>
      <c r="AM10" s="152"/>
      <c r="AN10"/>
      <c r="AO10"/>
      <c r="AP10" s="124"/>
      <c r="AQ10" s="81"/>
      <c r="AR10" s="53"/>
      <c r="AS10" s="260"/>
      <c r="AT10" s="261"/>
      <c r="AU10" s="261"/>
      <c r="AV10" s="261"/>
      <c r="AW10" s="261"/>
      <c r="AX10" s="261"/>
      <c r="AY10" s="262"/>
      <c r="AZ10" s="54"/>
    </row>
    <row r="11" spans="1:52" ht="15.75" customHeight="1">
      <c r="A11" s="53"/>
      <c r="B11" s="27" t="s">
        <v>2</v>
      </c>
      <c r="D11" s="261"/>
      <c r="E11" s="261"/>
      <c r="F11" s="261"/>
      <c r="G11" s="261"/>
      <c r="H11" s="261"/>
      <c r="I11" s="261"/>
      <c r="J11" s="261"/>
      <c r="K11" s="261"/>
      <c r="S11" s="54"/>
      <c r="T11" s="142"/>
      <c r="U11" s="135" t="s">
        <v>520</v>
      </c>
      <c r="V11" s="119" t="s">
        <v>580</v>
      </c>
      <c r="W11" s="213"/>
      <c r="X11" s="214" t="s">
        <v>527</v>
      </c>
      <c r="Y11" s="215"/>
      <c r="Z11" s="214"/>
      <c r="AA11" s="213"/>
      <c r="AB11" s="216" t="s">
        <v>528</v>
      </c>
      <c r="AC11" s="217"/>
      <c r="AD11" s="213"/>
      <c r="AE11" s="214" t="s">
        <v>555</v>
      </c>
      <c r="AF11" s="218"/>
      <c r="AG11" s="219"/>
      <c r="AH11" s="213"/>
      <c r="AI11" s="124" t="s">
        <v>556</v>
      </c>
      <c r="AJ11" s="138"/>
      <c r="AK11"/>
      <c r="AL11"/>
      <c r="AM11" s="152"/>
      <c r="AN11"/>
      <c r="AO11"/>
      <c r="AP11" s="124"/>
      <c r="AQ11" s="81"/>
      <c r="AR11" s="53"/>
      <c r="AS11" s="260"/>
      <c r="AT11" s="261"/>
      <c r="AU11" s="261"/>
      <c r="AV11" s="261"/>
      <c r="AW11" s="261"/>
      <c r="AX11" s="261"/>
      <c r="AY11" s="262"/>
      <c r="AZ11" s="54"/>
    </row>
    <row r="12" spans="1:52" ht="15.75" customHeight="1">
      <c r="A12" s="53"/>
      <c r="B12" s="27" t="s">
        <v>679</v>
      </c>
      <c r="D12" s="249">
        <v>1</v>
      </c>
      <c r="E12" s="249"/>
      <c r="F12" s="249"/>
      <c r="G12" s="249"/>
      <c r="H12" s="249"/>
      <c r="I12" s="249"/>
      <c r="J12" s="58"/>
      <c r="S12" s="54"/>
      <c r="T12" s="142"/>
      <c r="U12" s="125" t="s">
        <v>536</v>
      </c>
      <c r="V12" s="119" t="s">
        <v>21</v>
      </c>
      <c r="W12" s="55"/>
      <c r="X12" s="24" t="s">
        <v>557</v>
      </c>
      <c r="Y12" s="148"/>
      <c r="Z12" s="24"/>
      <c r="AA12" s="55"/>
      <c r="AB12" s="124" t="s">
        <v>558</v>
      </c>
      <c r="AC12" s="138"/>
      <c r="AD12" s="55"/>
      <c r="AE12" s="24" t="s">
        <v>537</v>
      </c>
      <c r="AF12" s="152"/>
      <c r="AG12" s="64"/>
      <c r="AH12" s="55"/>
      <c r="AI12" s="124" t="s">
        <v>538</v>
      </c>
      <c r="AJ12" s="138"/>
      <c r="AK12" s="57"/>
      <c r="AL12" s="24" t="s">
        <v>539</v>
      </c>
      <c r="AM12" s="152"/>
      <c r="AN12" s="64"/>
      <c r="AO12" s="55"/>
      <c r="AP12" s="124" t="s">
        <v>540</v>
      </c>
      <c r="AQ12" s="81"/>
      <c r="AR12" s="53"/>
      <c r="AS12" s="289"/>
      <c r="AT12" s="290"/>
      <c r="AU12" s="290"/>
      <c r="AV12" s="290"/>
      <c r="AW12" s="290"/>
      <c r="AX12" s="290"/>
      <c r="AY12" s="291"/>
      <c r="AZ12" s="54"/>
    </row>
    <row r="13" spans="1:52" ht="15.75" customHeight="1">
      <c r="A13" s="53"/>
      <c r="B13" s="27" t="s">
        <v>37</v>
      </c>
      <c r="D13" s="250">
        <v>1</v>
      </c>
      <c r="E13" s="250"/>
      <c r="F13" s="250"/>
      <c r="G13" s="250"/>
      <c r="H13" s="250"/>
      <c r="I13" s="250"/>
      <c r="J13" s="58"/>
      <c r="S13" s="54"/>
      <c r="T13" s="142"/>
      <c r="U13" s="135" t="s">
        <v>533</v>
      </c>
      <c r="V13" s="119" t="s">
        <v>21</v>
      </c>
      <c r="W13" s="55"/>
      <c r="X13" s="24" t="s">
        <v>559</v>
      </c>
      <c r="Y13" s="148"/>
      <c r="Z13" s="24"/>
      <c r="AA13" s="55"/>
      <c r="AB13" s="124" t="s">
        <v>560</v>
      </c>
      <c r="AC13" s="138"/>
      <c r="AD13" s="55"/>
      <c r="AE13" s="24" t="s">
        <v>541</v>
      </c>
      <c r="AF13" s="152"/>
      <c r="AG13" s="64"/>
      <c r="AH13" s="55"/>
      <c r="AI13" s="124" t="s">
        <v>542</v>
      </c>
      <c r="AJ13" s="138"/>
      <c r="AK13"/>
      <c r="AL13"/>
      <c r="AM13" s="152"/>
      <c r="AN13"/>
      <c r="AO13"/>
      <c r="AP13" s="124"/>
      <c r="AQ13" s="81"/>
      <c r="AR13" s="53"/>
      <c r="AY13" s="27"/>
      <c r="AZ13" s="54"/>
    </row>
    <row r="14" spans="1:52" ht="15.75" customHeight="1">
      <c r="A14" s="53"/>
      <c r="B14" s="27"/>
      <c r="D14" s="58"/>
      <c r="E14" s="58"/>
      <c r="F14" s="58"/>
      <c r="G14" s="58"/>
      <c r="H14" s="58"/>
      <c r="I14" s="58"/>
      <c r="J14" s="58"/>
      <c r="S14" s="54"/>
      <c r="T14" s="142"/>
      <c r="U14" s="135" t="s">
        <v>534</v>
      </c>
      <c r="V14" s="119" t="s">
        <v>21</v>
      </c>
      <c r="W14" s="55"/>
      <c r="X14" s="24" t="s">
        <v>561</v>
      </c>
      <c r="Y14" s="148"/>
      <c r="Z14" s="24"/>
      <c r="AA14" s="55"/>
      <c r="AB14" s="124" t="s">
        <v>562</v>
      </c>
      <c r="AC14" s="138"/>
      <c r="AD14" s="55"/>
      <c r="AE14" s="24" t="s">
        <v>543</v>
      </c>
      <c r="AF14" s="152"/>
      <c r="AG14" s="64"/>
      <c r="AH14" s="55"/>
      <c r="AI14" s="124" t="s">
        <v>544</v>
      </c>
      <c r="AJ14" s="138"/>
      <c r="AK14"/>
      <c r="AL14"/>
      <c r="AM14" s="152"/>
      <c r="AN14"/>
      <c r="AO14"/>
      <c r="AP14" s="124"/>
      <c r="AQ14" s="81"/>
      <c r="AR14" s="53"/>
      <c r="AS14" s="37" t="s">
        <v>594</v>
      </c>
      <c r="AT14" s="91"/>
      <c r="AU14" s="91"/>
      <c r="AV14" s="91"/>
      <c r="AW14" s="91"/>
      <c r="AX14" s="91"/>
      <c r="AY14" s="92"/>
      <c r="AZ14" s="54"/>
    </row>
    <row r="15" spans="1:52" ht="15.75" customHeight="1" thickBot="1">
      <c r="A15" s="53"/>
      <c r="B15" s="97" t="s">
        <v>597</v>
      </c>
      <c r="C15" s="59"/>
      <c r="D15" s="60"/>
      <c r="E15" s="60"/>
      <c r="F15" s="60"/>
      <c r="G15" s="60"/>
      <c r="H15" s="60"/>
      <c r="I15" s="60"/>
      <c r="J15" s="60"/>
      <c r="K15" s="46"/>
      <c r="L15" s="46"/>
      <c r="M15" s="46"/>
      <c r="N15" s="46"/>
      <c r="O15" s="46"/>
      <c r="P15" s="46"/>
      <c r="Q15" s="46"/>
      <c r="R15" s="46"/>
      <c r="S15" s="54"/>
      <c r="T15" s="142"/>
      <c r="U15" s="135" t="s">
        <v>535</v>
      </c>
      <c r="V15" s="119" t="s">
        <v>21</v>
      </c>
      <c r="W15" s="55"/>
      <c r="X15" s="24" t="s">
        <v>563</v>
      </c>
      <c r="Y15" s="148"/>
      <c r="Z15" s="24"/>
      <c r="AA15" s="55"/>
      <c r="AB15" s="124" t="s">
        <v>564</v>
      </c>
      <c r="AC15" s="138"/>
      <c r="AD15" s="55"/>
      <c r="AE15" s="24" t="s">
        <v>545</v>
      </c>
      <c r="AF15" s="152"/>
      <c r="AG15" s="64"/>
      <c r="AH15" s="55"/>
      <c r="AI15" s="124" t="s">
        <v>546</v>
      </c>
      <c r="AJ15" s="138"/>
      <c r="AK15"/>
      <c r="AL15"/>
      <c r="AM15" s="152"/>
      <c r="AN15"/>
      <c r="AO15"/>
      <c r="AP15" s="124"/>
      <c r="AQ15" s="81"/>
      <c r="AR15" s="53"/>
      <c r="AS15" s="257"/>
      <c r="AT15" s="258"/>
      <c r="AU15" s="258"/>
      <c r="AV15" s="258"/>
      <c r="AW15" s="258"/>
      <c r="AX15" s="258"/>
      <c r="AY15" s="259"/>
      <c r="AZ15" s="54"/>
    </row>
    <row r="16" spans="1:52" ht="15.75" customHeight="1">
      <c r="A16" s="53"/>
      <c r="B16" s="302" t="s">
        <v>598</v>
      </c>
      <c r="C16" s="302"/>
      <c r="D16" s="302"/>
      <c r="E16" s="44" t="s">
        <v>599</v>
      </c>
      <c r="F16" s="44"/>
      <c r="G16" s="44" t="s">
        <v>20</v>
      </c>
      <c r="H16" s="45"/>
      <c r="I16" s="70" t="s">
        <v>28</v>
      </c>
      <c r="J16" s="45"/>
      <c r="K16" s="45" t="s">
        <v>598</v>
      </c>
      <c r="L16" s="45"/>
      <c r="M16" s="45"/>
      <c r="N16" s="44" t="s">
        <v>599</v>
      </c>
      <c r="O16" s="44"/>
      <c r="P16" s="45" t="s">
        <v>20</v>
      </c>
      <c r="Q16" s="45"/>
      <c r="R16" s="70" t="s">
        <v>28</v>
      </c>
      <c r="S16" s="54"/>
      <c r="T16" s="142"/>
      <c r="U16" s="135" t="s">
        <v>585</v>
      </c>
      <c r="V16" s="126" t="s">
        <v>16</v>
      </c>
      <c r="W16" s="297"/>
      <c r="X16" s="258"/>
      <c r="Y16" s="114"/>
      <c r="Z16" s="8"/>
      <c r="AA16" s="74"/>
      <c r="AB16" s="124"/>
      <c r="AC16" s="138"/>
      <c r="AD16" s="297"/>
      <c r="AE16" s="258"/>
      <c r="AF16" s="152"/>
      <c r="AG16" s="64"/>
      <c r="AH16" s="74"/>
      <c r="AI16" s="76"/>
      <c r="AJ16" s="138"/>
      <c r="AK16" s="297"/>
      <c r="AL16" s="258"/>
      <c r="AM16" s="152"/>
      <c r="AN16" s="64"/>
      <c r="AO16" s="64"/>
      <c r="AP16" s="76"/>
      <c r="AQ16" s="81"/>
      <c r="AR16" s="53"/>
      <c r="AS16" s="260"/>
      <c r="AT16" s="261"/>
      <c r="AU16" s="261"/>
      <c r="AV16" s="261"/>
      <c r="AW16" s="261"/>
      <c r="AX16" s="261"/>
      <c r="AY16" s="262"/>
      <c r="AZ16" s="54"/>
    </row>
    <row r="17" spans="1:52" ht="15.75" customHeight="1">
      <c r="A17" s="53"/>
      <c r="B17" s="303" t="s">
        <v>395</v>
      </c>
      <c r="C17" s="303"/>
      <c r="D17" s="303"/>
      <c r="E17" s="212"/>
      <c r="F17" s="26"/>
      <c r="G17" s="27" t="s">
        <v>580</v>
      </c>
      <c r="J17" s="93"/>
      <c r="K17" s="303" t="s">
        <v>529</v>
      </c>
      <c r="L17" s="303"/>
      <c r="M17" s="303"/>
      <c r="N17" s="61"/>
      <c r="O17" s="26"/>
      <c r="P17" s="25" t="s">
        <v>21</v>
      </c>
      <c r="R17" s="24" t="s">
        <v>514</v>
      </c>
      <c r="S17" s="54"/>
      <c r="T17" s="142"/>
      <c r="U17" s="125" t="s">
        <v>13</v>
      </c>
      <c r="V17" s="119" t="s">
        <v>21</v>
      </c>
      <c r="W17" s="96"/>
      <c r="X17" s="27"/>
      <c r="Y17" s="149"/>
      <c r="Z17" s="27"/>
      <c r="AA17" s="55"/>
      <c r="AB17" s="124" t="s">
        <v>475</v>
      </c>
      <c r="AC17" s="138"/>
      <c r="AD17" s="96"/>
      <c r="AE17" s="24"/>
      <c r="AF17" s="152"/>
      <c r="AG17" s="64"/>
      <c r="AH17" s="232"/>
      <c r="AI17" s="124" t="s">
        <v>476</v>
      </c>
      <c r="AJ17" s="138"/>
      <c r="AK17" s="27"/>
      <c r="AL17" s="24"/>
      <c r="AM17" s="152"/>
      <c r="AN17" s="64"/>
      <c r="AO17" s="55"/>
      <c r="AP17" s="124" t="s">
        <v>477</v>
      </c>
      <c r="AQ17" s="81"/>
      <c r="AR17" s="53"/>
      <c r="AS17" s="94"/>
      <c r="AT17" s="56"/>
      <c r="AU17" s="56"/>
      <c r="AV17" s="56"/>
      <c r="AW17" s="56"/>
      <c r="AX17" s="56"/>
      <c r="AY17" s="95"/>
      <c r="AZ17" s="54"/>
    </row>
    <row r="18" spans="1:52" ht="15.75" customHeight="1" thickBot="1">
      <c r="A18" s="53"/>
      <c r="B18" s="270" t="s">
        <v>682</v>
      </c>
      <c r="C18" s="270"/>
      <c r="D18" s="270"/>
      <c r="E18" s="61"/>
      <c r="F18" s="26"/>
      <c r="G18" s="27" t="s">
        <v>467</v>
      </c>
      <c r="J18" s="93"/>
      <c r="K18" s="270" t="s">
        <v>530</v>
      </c>
      <c r="L18" s="270"/>
      <c r="M18" s="270"/>
      <c r="N18" s="61"/>
      <c r="O18" s="26"/>
      <c r="P18" s="25" t="s">
        <v>21</v>
      </c>
      <c r="R18" s="24" t="s">
        <v>515</v>
      </c>
      <c r="S18" s="54"/>
      <c r="T18" s="142"/>
      <c r="U18" s="136"/>
      <c r="V18" s="128"/>
      <c r="W18" s="129"/>
      <c r="X18" s="131"/>
      <c r="Y18" s="150"/>
      <c r="Z18" s="131"/>
      <c r="AA18" s="129"/>
      <c r="AB18" s="130"/>
      <c r="AC18" s="145"/>
      <c r="AD18" s="129"/>
      <c r="AE18" s="131"/>
      <c r="AF18" s="153"/>
      <c r="AG18" s="132"/>
      <c r="AH18" s="129"/>
      <c r="AI18" s="130"/>
      <c r="AJ18" s="145"/>
      <c r="AK18" s="129"/>
      <c r="AL18" s="131"/>
      <c r="AM18" s="153"/>
      <c r="AN18" s="132"/>
      <c r="AO18" s="129"/>
      <c r="AP18" s="140"/>
      <c r="AQ18" s="81"/>
      <c r="AR18" s="53"/>
      <c r="AS18" s="260"/>
      <c r="AT18" s="261"/>
      <c r="AU18" s="261"/>
      <c r="AV18" s="261"/>
      <c r="AW18" s="261"/>
      <c r="AX18" s="261"/>
      <c r="AY18" s="262"/>
      <c r="AZ18" s="54"/>
    </row>
    <row r="19" spans="1:52" ht="15.75" customHeight="1" thickBot="1">
      <c r="A19" s="53"/>
      <c r="B19" s="270" t="s">
        <v>634</v>
      </c>
      <c r="C19" s="270"/>
      <c r="D19" s="270"/>
      <c r="E19" s="231">
        <f>VLOOKUP(D12,'Calorific values'!D2:K88,8)</f>
        <v>0</v>
      </c>
      <c r="F19" s="62"/>
      <c r="G19" s="27" t="s">
        <v>17</v>
      </c>
      <c r="I19" s="25" t="s">
        <v>382</v>
      </c>
      <c r="J19" s="93"/>
      <c r="K19" s="270" t="s">
        <v>531</v>
      </c>
      <c r="L19" s="270"/>
      <c r="M19" s="270"/>
      <c r="N19" s="61"/>
      <c r="O19" s="26"/>
      <c r="P19" s="25" t="s">
        <v>21</v>
      </c>
      <c r="R19" s="24" t="s">
        <v>516</v>
      </c>
      <c r="S19" s="54"/>
      <c r="T19" s="82"/>
      <c r="U19" s="77"/>
      <c r="V19" s="77"/>
      <c r="W19" s="77"/>
      <c r="X19" s="77"/>
      <c r="Y19" s="77"/>
      <c r="Z19" s="77"/>
      <c r="AA19" s="77"/>
      <c r="AB19" s="77"/>
      <c r="AC19" s="77"/>
      <c r="AD19" s="77"/>
      <c r="AE19" s="77"/>
      <c r="AF19" s="77"/>
      <c r="AG19" s="77"/>
      <c r="AH19" s="77"/>
      <c r="AI19" s="77"/>
      <c r="AJ19" s="77"/>
      <c r="AK19" s="77"/>
      <c r="AL19" s="77"/>
      <c r="AM19" s="77"/>
      <c r="AN19" s="77"/>
      <c r="AO19" s="77"/>
      <c r="AP19" s="77"/>
      <c r="AQ19" s="81"/>
      <c r="AR19" s="53"/>
      <c r="AS19" s="260"/>
      <c r="AT19" s="261"/>
      <c r="AU19" s="261"/>
      <c r="AV19" s="261"/>
      <c r="AW19" s="261"/>
      <c r="AX19" s="261"/>
      <c r="AY19" s="262"/>
      <c r="AZ19" s="54"/>
    </row>
    <row r="20" spans="1:52" ht="15.75" customHeight="1">
      <c r="A20" s="53"/>
      <c r="B20" s="270" t="s">
        <v>678</v>
      </c>
      <c r="C20" s="270"/>
      <c r="D20" s="270"/>
      <c r="E20" s="98">
        <f>IF(E19=0,0,(IF(D12&lt;=2,E19-3300,IF(D12=3,E19-2600,(IF(D12&lt;=5,E19-1200,E19-1320))))))</f>
        <v>0</v>
      </c>
      <c r="F20" s="62"/>
      <c r="G20" s="27" t="s">
        <v>17</v>
      </c>
      <c r="I20" s="25" t="s">
        <v>383</v>
      </c>
      <c r="J20" s="93"/>
      <c r="K20" s="270" t="s">
        <v>532</v>
      </c>
      <c r="L20" s="270"/>
      <c r="M20" s="270"/>
      <c r="N20" s="61"/>
      <c r="O20" s="26"/>
      <c r="P20" s="25" t="s">
        <v>21</v>
      </c>
      <c r="R20" s="24" t="s">
        <v>517</v>
      </c>
      <c r="S20" s="54"/>
      <c r="T20" s="82"/>
      <c r="U20" s="64"/>
      <c r="V20" s="64"/>
      <c r="W20" s="158" t="s">
        <v>586</v>
      </c>
      <c r="X20" s="64"/>
      <c r="Y20" s="146"/>
      <c r="Z20" s="64"/>
      <c r="AA20" s="158" t="s">
        <v>587</v>
      </c>
      <c r="AB20" s="64"/>
      <c r="AC20" s="76"/>
      <c r="AD20" s="159" t="s">
        <v>624</v>
      </c>
      <c r="AE20" s="64"/>
      <c r="AF20" s="64"/>
      <c r="AG20" s="64"/>
      <c r="AH20" s="64"/>
      <c r="AI20" s="64"/>
      <c r="AJ20" s="64"/>
      <c r="AK20" s="64"/>
      <c r="AL20" s="64"/>
      <c r="AM20" s="64"/>
      <c r="AN20" s="64"/>
      <c r="AO20" s="64"/>
      <c r="AP20" s="64"/>
      <c r="AQ20" s="81"/>
      <c r="AR20" s="53"/>
      <c r="AS20" s="260"/>
      <c r="AT20" s="261"/>
      <c r="AU20" s="261"/>
      <c r="AV20" s="261"/>
      <c r="AW20" s="261"/>
      <c r="AX20" s="261"/>
      <c r="AY20" s="262"/>
      <c r="AZ20" s="54"/>
    </row>
    <row r="21" spans="1:52" ht="15.75" customHeight="1">
      <c r="A21" s="53"/>
      <c r="B21" s="270" t="s">
        <v>19</v>
      </c>
      <c r="C21" s="270"/>
      <c r="D21" s="270"/>
      <c r="E21" s="224">
        <f>'Fuel Moisture'!F14</f>
        <v>0</v>
      </c>
      <c r="F21" s="63"/>
      <c r="G21" s="27" t="s">
        <v>22</v>
      </c>
      <c r="I21" s="25" t="s">
        <v>12</v>
      </c>
      <c r="J21" s="93"/>
      <c r="K21" s="270" t="s">
        <v>18</v>
      </c>
      <c r="L21" s="270"/>
      <c r="M21" s="270"/>
      <c r="N21" s="61"/>
      <c r="O21" s="26"/>
      <c r="P21" s="25" t="s">
        <v>21</v>
      </c>
      <c r="R21" s="24" t="s">
        <v>384</v>
      </c>
      <c r="S21" s="54"/>
      <c r="T21" s="82"/>
      <c r="U21" s="69" t="s">
        <v>588</v>
      </c>
      <c r="V21" s="23" t="s">
        <v>7</v>
      </c>
      <c r="W21" s="23" t="s">
        <v>27</v>
      </c>
      <c r="X21" s="23" t="s">
        <v>28</v>
      </c>
      <c r="Y21" s="152"/>
      <c r="Z21" s="64"/>
      <c r="AA21" s="23" t="s">
        <v>27</v>
      </c>
      <c r="AB21" s="23" t="s">
        <v>28</v>
      </c>
      <c r="AC21" s="76"/>
      <c r="AD21" s="72" t="s">
        <v>588</v>
      </c>
      <c r="AE21" s="64"/>
      <c r="AF21" s="64"/>
      <c r="AG21" s="64"/>
      <c r="AH21" s="64"/>
      <c r="AI21" s="64"/>
      <c r="AJ21" s="64"/>
      <c r="AK21" s="64"/>
      <c r="AL21" s="23" t="s">
        <v>7</v>
      </c>
      <c r="AM21" s="64"/>
      <c r="AN21" s="64"/>
      <c r="AO21" s="23" t="s">
        <v>27</v>
      </c>
      <c r="AP21" s="23" t="s">
        <v>28</v>
      </c>
      <c r="AQ21" s="81"/>
      <c r="AR21" s="53"/>
      <c r="AS21" s="260"/>
      <c r="AT21" s="261"/>
      <c r="AU21" s="261"/>
      <c r="AV21" s="261"/>
      <c r="AW21" s="261"/>
      <c r="AX21" s="261"/>
      <c r="AY21" s="262"/>
      <c r="AZ21" s="54"/>
    </row>
    <row r="22" spans="1:52" ht="15.75" customHeight="1">
      <c r="A22" s="53"/>
      <c r="B22" s="245" t="s">
        <v>582</v>
      </c>
      <c r="C22" s="245"/>
      <c r="D22" s="245"/>
      <c r="E22" s="231">
        <f>E20*(1-E21)-(E21*((N22-E17)*4.2+2260))</f>
        <v>0</v>
      </c>
      <c r="F22" s="63"/>
      <c r="G22" s="27" t="s">
        <v>17</v>
      </c>
      <c r="I22" s="25" t="s">
        <v>507</v>
      </c>
      <c r="J22" s="93"/>
      <c r="K22" s="270" t="s">
        <v>583</v>
      </c>
      <c r="L22" s="270"/>
      <c r="M22" s="270"/>
      <c r="N22" s="210"/>
      <c r="O22" s="26"/>
      <c r="P22" s="25" t="s">
        <v>580</v>
      </c>
      <c r="R22" s="24" t="s">
        <v>513</v>
      </c>
      <c r="S22" s="54"/>
      <c r="T22" s="82"/>
      <c r="U22" s="27" t="s">
        <v>9</v>
      </c>
      <c r="V22" s="25" t="s">
        <v>21</v>
      </c>
      <c r="W22" s="99">
        <f>W7-AA7</f>
        <v>0</v>
      </c>
      <c r="X22" s="24" t="s">
        <v>484</v>
      </c>
      <c r="Y22" s="152"/>
      <c r="Z22" s="64"/>
      <c r="AA22" s="99">
        <f>AD7-AH7</f>
        <v>0</v>
      </c>
      <c r="AB22" s="24" t="s">
        <v>485</v>
      </c>
      <c r="AC22" s="76"/>
      <c r="AD22" s="73" t="s">
        <v>632</v>
      </c>
      <c r="AE22" s="64"/>
      <c r="AF22" s="64"/>
      <c r="AG22" s="64"/>
      <c r="AH22" s="64"/>
      <c r="AI22" s="64"/>
      <c r="AJ22" s="64"/>
      <c r="AK22" s="64"/>
      <c r="AL22" s="25" t="s">
        <v>21</v>
      </c>
      <c r="AM22" s="64"/>
      <c r="AN22" s="64"/>
      <c r="AO22" s="99">
        <f>IF(AO7=0,0,AK7-AO7)</f>
        <v>0</v>
      </c>
      <c r="AP22" s="24" t="s">
        <v>486</v>
      </c>
      <c r="AQ22" s="81"/>
      <c r="AR22" s="53"/>
      <c r="AS22" s="260"/>
      <c r="AT22" s="261"/>
      <c r="AU22" s="261"/>
      <c r="AV22" s="261"/>
      <c r="AW22" s="261"/>
      <c r="AX22" s="261"/>
      <c r="AY22" s="262"/>
      <c r="AZ22" s="54"/>
    </row>
    <row r="23" spans="1:52" ht="15.75" customHeight="1">
      <c r="A23" s="53"/>
      <c r="B23" s="71" t="s">
        <v>635</v>
      </c>
      <c r="D23" s="27"/>
      <c r="E23" s="27"/>
      <c r="F23" s="27"/>
      <c r="G23" s="27"/>
      <c r="J23" s="93"/>
      <c r="K23" s="71"/>
      <c r="L23" s="24"/>
      <c r="M23" s="24"/>
      <c r="N23" s="24"/>
      <c r="O23" s="24"/>
      <c r="P23" s="24"/>
      <c r="Q23" s="24"/>
      <c r="R23" s="24"/>
      <c r="S23" s="54"/>
      <c r="T23" s="82"/>
      <c r="U23" s="27" t="s">
        <v>584</v>
      </c>
      <c r="V23" s="25" t="s">
        <v>21</v>
      </c>
      <c r="W23" s="99">
        <f>IF(AA17=0,0,AA17-$N$21)</f>
        <v>0</v>
      </c>
      <c r="X23" s="24" t="s">
        <v>641</v>
      </c>
      <c r="Y23" s="152"/>
      <c r="Z23" s="64"/>
      <c r="AA23" s="99">
        <f>IF(AH17=0,0,AH17-$N$21)</f>
        <v>0</v>
      </c>
      <c r="AB23" s="24" t="s">
        <v>643</v>
      </c>
      <c r="AC23" s="76"/>
      <c r="AD23" s="73" t="s">
        <v>35</v>
      </c>
      <c r="AE23" s="64"/>
      <c r="AF23" s="64"/>
      <c r="AG23" s="64"/>
      <c r="AH23" s="64"/>
      <c r="AI23" s="64"/>
      <c r="AJ23" s="64"/>
      <c r="AK23" s="64"/>
      <c r="AL23" s="25" t="s">
        <v>21</v>
      </c>
      <c r="AM23" s="64"/>
      <c r="AN23" s="64"/>
      <c r="AO23" s="99">
        <f>IF(AO17=0,0,(AO17-$N$21)-W23)</f>
        <v>0</v>
      </c>
      <c r="AP23" s="24" t="s">
        <v>646</v>
      </c>
      <c r="AQ23" s="81"/>
      <c r="AR23" s="53"/>
      <c r="AS23" s="289"/>
      <c r="AT23" s="290"/>
      <c r="AU23" s="290"/>
      <c r="AV23" s="290"/>
      <c r="AW23" s="290"/>
      <c r="AX23" s="290"/>
      <c r="AY23" s="291"/>
      <c r="AZ23" s="54"/>
    </row>
    <row r="24" spans="1:52" ht="15.75" customHeight="1">
      <c r="A24" s="53"/>
      <c r="B24" s="71"/>
      <c r="D24" s="27"/>
      <c r="E24" s="27"/>
      <c r="F24" s="27"/>
      <c r="G24" s="27"/>
      <c r="K24" s="71"/>
      <c r="L24" s="24"/>
      <c r="M24" s="24"/>
      <c r="N24" s="24"/>
      <c r="O24" s="24"/>
      <c r="P24" s="24"/>
      <c r="Q24" s="24"/>
      <c r="R24" s="24"/>
      <c r="S24" s="54"/>
      <c r="T24" s="82"/>
      <c r="U24" s="27" t="s">
        <v>5</v>
      </c>
      <c r="V24" s="25" t="s">
        <v>21</v>
      </c>
      <c r="W24" s="99">
        <f>W22*(1-1.12*$E$21)-1.5*W23</f>
        <v>0</v>
      </c>
      <c r="X24" s="24" t="s">
        <v>487</v>
      </c>
      <c r="Y24" s="152"/>
      <c r="Z24" s="64"/>
      <c r="AA24" s="99">
        <f>AA22*(1-1.12*$E$21)-1.5*AA23</f>
        <v>0</v>
      </c>
      <c r="AB24" s="24" t="s">
        <v>488</v>
      </c>
      <c r="AC24" s="76"/>
      <c r="AD24" s="73" t="s">
        <v>5</v>
      </c>
      <c r="AE24" s="64"/>
      <c r="AF24" s="64"/>
      <c r="AG24" s="64"/>
      <c r="AH24" s="64"/>
      <c r="AI24" s="64"/>
      <c r="AJ24" s="64"/>
      <c r="AK24" s="64"/>
      <c r="AL24" s="25" t="s">
        <v>21</v>
      </c>
      <c r="AM24" s="64"/>
      <c r="AN24" s="64"/>
      <c r="AO24" s="99">
        <f>AO22*(1-1.12*$E$21)-1.5*AO23</f>
        <v>0</v>
      </c>
      <c r="AP24" s="24" t="s">
        <v>489</v>
      </c>
      <c r="AQ24" s="81"/>
      <c r="AR24" s="53"/>
      <c r="AT24" s="28"/>
      <c r="AU24" s="28"/>
      <c r="AV24" s="28"/>
      <c r="AW24" s="28"/>
      <c r="AX24" s="28"/>
      <c r="AY24" s="28"/>
      <c r="AZ24" s="54"/>
    </row>
    <row r="25" spans="1:52" ht="15.75" customHeight="1">
      <c r="A25" s="53"/>
      <c r="B25" s="89" t="s">
        <v>593</v>
      </c>
      <c r="C25" s="40"/>
      <c r="D25" s="90"/>
      <c r="E25" s="274"/>
      <c r="F25" s="274"/>
      <c r="G25" s="274"/>
      <c r="H25" s="274"/>
      <c r="I25" s="274"/>
      <c r="J25" s="274"/>
      <c r="K25" s="274"/>
      <c r="L25" s="274"/>
      <c r="M25" s="274"/>
      <c r="N25" s="274"/>
      <c r="O25" s="274"/>
      <c r="P25" s="274"/>
      <c r="Q25" s="274"/>
      <c r="R25" s="252"/>
      <c r="S25" s="54"/>
      <c r="T25" s="82"/>
      <c r="U25" s="27" t="s">
        <v>565</v>
      </c>
      <c r="V25" s="25" t="s">
        <v>21</v>
      </c>
      <c r="W25" s="99">
        <f>SUM(W12:W15)-SUM(AA12:AA15)</f>
        <v>0</v>
      </c>
      <c r="X25" s="24" t="s">
        <v>490</v>
      </c>
      <c r="Y25" s="152"/>
      <c r="Z25" s="64"/>
      <c r="AA25" s="99">
        <f>SUM(AD12:AD15)-SUM(AH12:AH15)</f>
        <v>0</v>
      </c>
      <c r="AB25" s="24" t="s">
        <v>491</v>
      </c>
      <c r="AC25" s="76"/>
      <c r="AD25" s="73" t="s">
        <v>29</v>
      </c>
      <c r="AE25" s="64"/>
      <c r="AF25" s="64"/>
      <c r="AG25" s="64"/>
      <c r="AH25" s="64"/>
      <c r="AI25" s="64"/>
      <c r="AJ25" s="64"/>
      <c r="AK25" s="64"/>
      <c r="AL25" s="25" t="s">
        <v>21</v>
      </c>
      <c r="AM25" s="64"/>
      <c r="AN25" s="64"/>
      <c r="AO25" s="99">
        <f>AK12-AO12</f>
        <v>0</v>
      </c>
      <c r="AP25" s="24" t="s">
        <v>492</v>
      </c>
      <c r="AQ25" s="81"/>
      <c r="AR25" s="53"/>
      <c r="AS25" s="37" t="s">
        <v>596</v>
      </c>
      <c r="AT25" s="91"/>
      <c r="AU25" s="91"/>
      <c r="AV25" s="91"/>
      <c r="AW25" s="91"/>
      <c r="AX25" s="91"/>
      <c r="AY25" s="92"/>
      <c r="AZ25" s="54"/>
    </row>
    <row r="26" spans="1:52" ht="15.75" customHeight="1">
      <c r="A26" s="53"/>
      <c r="B26" s="264"/>
      <c r="C26" s="265"/>
      <c r="D26" s="265"/>
      <c r="E26" s="265"/>
      <c r="F26" s="265"/>
      <c r="G26" s="265"/>
      <c r="H26" s="265"/>
      <c r="I26" s="265"/>
      <c r="J26" s="265"/>
      <c r="K26" s="265"/>
      <c r="L26" s="265"/>
      <c r="M26" s="265"/>
      <c r="N26" s="265"/>
      <c r="O26" s="265"/>
      <c r="P26" s="265"/>
      <c r="Q26" s="265"/>
      <c r="R26" s="266"/>
      <c r="S26" s="54"/>
      <c r="T26" s="82"/>
      <c r="U26" s="27" t="s">
        <v>631</v>
      </c>
      <c r="V26" s="25" t="s">
        <v>21</v>
      </c>
      <c r="W26" s="99">
        <f>IF(W25=0,0,((AA12-$N17)*(AA8-W8)/($N$22-W8)+(AA13-$N18)*(AA9-W9)/($N$22-W9)+(AA14-$N19)*(AA10-W10)/($N$22-W10)+(AA15-$N20)*(AA11-W11)/($N$22-W11)))</f>
        <v>0</v>
      </c>
      <c r="X26" s="24" t="s">
        <v>493</v>
      </c>
      <c r="Y26" s="152"/>
      <c r="Z26" s="64"/>
      <c r="AA26" s="99">
        <f>IF(AA25=0,0,((AH12-$N17)*(AH8-AD8)/($N$22-AD8)+(AH13-$N18)*(AH9-AD9)/($N$22-AD9)+(AH14-$N19)*(AH10-AD10)/($N$22-AD10)+(AH15-$N20)*(AH11-AD11)/($N$22-AD11)))</f>
        <v>0</v>
      </c>
      <c r="AB26" s="24" t="s">
        <v>494</v>
      </c>
      <c r="AC26" s="76"/>
      <c r="AD26" s="73" t="s">
        <v>627</v>
      </c>
      <c r="AE26" s="64"/>
      <c r="AF26" s="64"/>
      <c r="AG26" s="64"/>
      <c r="AH26" s="64"/>
      <c r="AI26" s="64"/>
      <c r="AJ26" s="64"/>
      <c r="AK26" s="64"/>
      <c r="AL26" s="25" t="s">
        <v>21</v>
      </c>
      <c r="AM26" s="64"/>
      <c r="AN26" s="64"/>
      <c r="AO26" s="99">
        <f>IF(AO12=0,0,AO12-$N$17)</f>
        <v>0</v>
      </c>
      <c r="AP26" s="24" t="s">
        <v>495</v>
      </c>
      <c r="AQ26" s="81"/>
      <c r="AR26" s="53"/>
      <c r="AS26" s="257"/>
      <c r="AT26" s="258"/>
      <c r="AU26" s="258"/>
      <c r="AV26" s="258"/>
      <c r="AW26" s="258"/>
      <c r="AX26" s="258"/>
      <c r="AY26" s="259"/>
      <c r="AZ26" s="54"/>
    </row>
    <row r="27" spans="1:52" ht="15.75" customHeight="1">
      <c r="A27" s="53"/>
      <c r="B27" s="293"/>
      <c r="C27" s="294"/>
      <c r="D27" s="294"/>
      <c r="E27" s="294"/>
      <c r="F27" s="294"/>
      <c r="G27" s="294"/>
      <c r="H27" s="294"/>
      <c r="I27" s="294"/>
      <c r="J27" s="294"/>
      <c r="K27" s="294"/>
      <c r="L27" s="294"/>
      <c r="M27" s="294"/>
      <c r="N27" s="294"/>
      <c r="O27" s="294"/>
      <c r="P27" s="294"/>
      <c r="Q27" s="294"/>
      <c r="R27" s="295"/>
      <c r="S27" s="54"/>
      <c r="T27" s="82"/>
      <c r="U27" s="27" t="s">
        <v>566</v>
      </c>
      <c r="V27" s="25" t="s">
        <v>25</v>
      </c>
      <c r="W27" s="99">
        <f>(AA6-W6)*1400</f>
        <v>0</v>
      </c>
      <c r="X27" s="24" t="s">
        <v>642</v>
      </c>
      <c r="Y27" s="152"/>
      <c r="Z27" s="64"/>
      <c r="AA27" s="99">
        <f>(AH6-AD6)*1400</f>
        <v>0</v>
      </c>
      <c r="AB27" s="24" t="s">
        <v>644</v>
      </c>
      <c r="AC27" s="76"/>
      <c r="AD27" s="73" t="s">
        <v>568</v>
      </c>
      <c r="AE27" s="64"/>
      <c r="AF27" s="64"/>
      <c r="AG27" s="64"/>
      <c r="AH27" s="64"/>
      <c r="AI27" s="64"/>
      <c r="AJ27" s="64"/>
      <c r="AK27" s="64"/>
      <c r="AL27" s="25" t="s">
        <v>25</v>
      </c>
      <c r="AM27" s="64"/>
      <c r="AN27" s="64"/>
      <c r="AO27" s="99">
        <f>(AO6-AK6)*1400</f>
        <v>0</v>
      </c>
      <c r="AP27" s="24" t="s">
        <v>645</v>
      </c>
      <c r="AQ27" s="81"/>
      <c r="AR27" s="53"/>
      <c r="AS27" s="260"/>
      <c r="AT27" s="261"/>
      <c r="AU27" s="261"/>
      <c r="AV27" s="261"/>
      <c r="AW27" s="261"/>
      <c r="AX27" s="261"/>
      <c r="AY27" s="262"/>
      <c r="AZ27" s="54"/>
    </row>
    <row r="28" spans="1:52" ht="15.75" customHeight="1">
      <c r="A28" s="53"/>
      <c r="B28" s="226"/>
      <c r="C28" s="227"/>
      <c r="D28" s="227"/>
      <c r="E28" s="227"/>
      <c r="F28" s="227"/>
      <c r="G28" s="227"/>
      <c r="H28" s="227"/>
      <c r="I28" s="227"/>
      <c r="J28" s="227"/>
      <c r="K28" s="227"/>
      <c r="L28" s="227"/>
      <c r="M28" s="227"/>
      <c r="N28" s="227"/>
      <c r="O28" s="227"/>
      <c r="P28" s="227"/>
      <c r="Q28" s="227"/>
      <c r="R28" s="228"/>
      <c r="S28" s="54"/>
      <c r="T28" s="82"/>
      <c r="U28" s="27" t="s">
        <v>675</v>
      </c>
      <c r="V28" s="25" t="s">
        <v>25</v>
      </c>
      <c r="W28" s="99">
        <f>IF(N22=0,0,W27*75/(N22-W8))</f>
        <v>0</v>
      </c>
      <c r="X28" s="24" t="s">
        <v>676</v>
      </c>
      <c r="Y28" s="152"/>
      <c r="Z28" s="64"/>
      <c r="AA28" s="99">
        <f>IF(N22=0,0,AA27*75/(N22-AD8))</f>
        <v>0</v>
      </c>
      <c r="AB28" s="24" t="s">
        <v>677</v>
      </c>
      <c r="AC28" s="76"/>
      <c r="AD28" s="73" t="s">
        <v>33</v>
      </c>
      <c r="AE28" s="64"/>
      <c r="AF28" s="64"/>
      <c r="AG28" s="64"/>
      <c r="AH28" s="64"/>
      <c r="AI28" s="64"/>
      <c r="AJ28" s="64"/>
      <c r="AK28" s="64"/>
      <c r="AL28" s="25" t="s">
        <v>22</v>
      </c>
      <c r="AM28" s="64"/>
      <c r="AN28" s="64"/>
      <c r="AO28" s="238">
        <f>IF(AO24=0,0,(4.186*((AK12-$N17+AO26)/2)*(AO8-AK8)+2260*AO25)/(AO24*$E$20))</f>
        <v>0</v>
      </c>
      <c r="AP28" s="24" t="s">
        <v>498</v>
      </c>
      <c r="AQ28" s="81"/>
      <c r="AR28" s="53"/>
      <c r="AS28" s="94"/>
      <c r="AT28" s="56"/>
      <c r="AU28" s="56"/>
      <c r="AV28" s="56"/>
      <c r="AW28" s="56"/>
      <c r="AX28" s="56"/>
      <c r="AY28" s="95"/>
      <c r="AZ28" s="54"/>
    </row>
    <row r="29" spans="1:52" ht="15.75" customHeight="1">
      <c r="A29" s="53"/>
      <c r="B29" s="293"/>
      <c r="C29" s="294"/>
      <c r="D29" s="294"/>
      <c r="E29" s="294"/>
      <c r="F29" s="294"/>
      <c r="G29" s="294"/>
      <c r="H29" s="294"/>
      <c r="I29" s="294"/>
      <c r="J29" s="294"/>
      <c r="K29" s="294"/>
      <c r="L29" s="294"/>
      <c r="M29" s="294"/>
      <c r="N29" s="294"/>
      <c r="O29" s="294"/>
      <c r="P29" s="294"/>
      <c r="Q29" s="294"/>
      <c r="R29" s="295"/>
      <c r="S29" s="54"/>
      <c r="T29" s="82"/>
      <c r="U29" s="27" t="s">
        <v>33</v>
      </c>
      <c r="V29" s="25" t="s">
        <v>22</v>
      </c>
      <c r="W29" s="238">
        <f>IF(W24=0,0,(4.186*SUM((W12-$N17)*(AA8-W8),(W13-$N18)*(AA9-W9),(W14-$N19)*(AA10-W10),(W15-$N20)*(AA11-W11))+2260*W25)/(W24*$E20))</f>
        <v>0</v>
      </c>
      <c r="X29" s="24" t="s">
        <v>496</v>
      </c>
      <c r="Y29" s="152"/>
      <c r="Z29" s="64"/>
      <c r="AA29" s="238">
        <f>IF(AA24=0,0,(4.186*SUM((AD12-$N17)*(AH8-AD8),(AD13-$N18)*(AH9-AD9),(AD14-$N19)*(AH10-AD10),(AD15-$N20)*(AH11-AD11))+2260*AA25)/(AA24*$E20))</f>
        <v>0</v>
      </c>
      <c r="AB29" s="24" t="s">
        <v>497</v>
      </c>
      <c r="AC29" s="76"/>
      <c r="AD29" s="73" t="s">
        <v>6</v>
      </c>
      <c r="AE29" s="64"/>
      <c r="AF29" s="64"/>
      <c r="AG29" s="64"/>
      <c r="AH29" s="64"/>
      <c r="AI29" s="64"/>
      <c r="AJ29" s="64"/>
      <c r="AK29" s="64"/>
      <c r="AL29" s="25" t="s">
        <v>499</v>
      </c>
      <c r="AM29" s="64"/>
      <c r="AN29" s="64"/>
      <c r="AO29" s="99">
        <f>IF(AO27=0,0,AO24/AO27)</f>
        <v>0</v>
      </c>
      <c r="AP29" s="24" t="s">
        <v>502</v>
      </c>
      <c r="AQ29" s="81"/>
      <c r="AR29" s="53"/>
      <c r="AS29" s="94"/>
      <c r="AT29" s="56"/>
      <c r="AU29" s="56"/>
      <c r="AV29" s="56"/>
      <c r="AW29" s="56"/>
      <c r="AX29" s="56"/>
      <c r="AY29" s="95"/>
      <c r="AZ29" s="54"/>
    </row>
    <row r="30" spans="1:52" ht="15.75" customHeight="1">
      <c r="A30" s="53"/>
      <c r="B30" s="293"/>
      <c r="C30" s="294"/>
      <c r="D30" s="294"/>
      <c r="E30" s="294"/>
      <c r="F30" s="294"/>
      <c r="G30" s="294"/>
      <c r="H30" s="294"/>
      <c r="I30" s="294"/>
      <c r="J30" s="294"/>
      <c r="K30" s="294"/>
      <c r="L30" s="294"/>
      <c r="M30" s="294"/>
      <c r="N30" s="294"/>
      <c r="O30" s="294"/>
      <c r="P30" s="294"/>
      <c r="Q30" s="294"/>
      <c r="R30" s="295"/>
      <c r="S30" s="54"/>
      <c r="T30" s="82"/>
      <c r="U30" s="27" t="s">
        <v>6</v>
      </c>
      <c r="V30" s="25" t="s">
        <v>499</v>
      </c>
      <c r="W30" s="99">
        <f>IF(W27=0,0,W24/W27)</f>
        <v>0</v>
      </c>
      <c r="X30" s="25" t="s">
        <v>500</v>
      </c>
      <c r="Y30" s="152"/>
      <c r="Z30" s="64"/>
      <c r="AA30" s="99">
        <f>IF(AA27=0,0,AA24/AA27)</f>
        <v>0</v>
      </c>
      <c r="AB30" s="24" t="s">
        <v>501</v>
      </c>
      <c r="AC30" s="76"/>
      <c r="AD30" s="73" t="s">
        <v>8</v>
      </c>
      <c r="AE30" s="64"/>
      <c r="AF30" s="64"/>
      <c r="AG30" s="64"/>
      <c r="AH30" s="64"/>
      <c r="AI30" s="64"/>
      <c r="AJ30" s="64"/>
      <c r="AK30" s="64"/>
      <c r="AL30" s="25" t="s">
        <v>503</v>
      </c>
      <c r="AM30" s="64"/>
      <c r="AN30" s="64"/>
      <c r="AO30" s="99">
        <f>IF(AO26=0,0,AO24/AO26*1000)</f>
        <v>0</v>
      </c>
      <c r="AP30" s="24" t="s">
        <v>506</v>
      </c>
      <c r="AQ30" s="81"/>
      <c r="AR30" s="53"/>
      <c r="AS30" s="260"/>
      <c r="AT30" s="261"/>
      <c r="AU30" s="261"/>
      <c r="AV30" s="261"/>
      <c r="AW30" s="261"/>
      <c r="AX30" s="261"/>
      <c r="AY30" s="262"/>
      <c r="AZ30" s="54"/>
    </row>
    <row r="31" spans="1:52" ht="15.75" customHeight="1">
      <c r="A31" s="53"/>
      <c r="B31" s="293"/>
      <c r="C31" s="294"/>
      <c r="D31" s="294"/>
      <c r="E31" s="294"/>
      <c r="F31" s="294"/>
      <c r="G31" s="294"/>
      <c r="H31" s="294"/>
      <c r="I31" s="294"/>
      <c r="J31" s="294"/>
      <c r="K31" s="294"/>
      <c r="L31" s="294"/>
      <c r="M31" s="294"/>
      <c r="N31" s="294"/>
      <c r="O31" s="294"/>
      <c r="P31" s="294"/>
      <c r="Q31" s="294"/>
      <c r="R31" s="295"/>
      <c r="S31" s="54"/>
      <c r="T31" s="82"/>
      <c r="U31" s="27" t="s">
        <v>8</v>
      </c>
      <c r="V31" s="25" t="s">
        <v>503</v>
      </c>
      <c r="W31" s="99">
        <f>IF(W26=0,0,1000*W24/(SUM(W26:W26)))</f>
        <v>0</v>
      </c>
      <c r="X31" s="24" t="s">
        <v>504</v>
      </c>
      <c r="Y31" s="152"/>
      <c r="Z31" s="64"/>
      <c r="AA31" s="99">
        <f>IF(AA26=0,0,1000*AA24/(SUM(AA26:AA26)))</f>
        <v>0</v>
      </c>
      <c r="AB31" s="24" t="s">
        <v>505</v>
      </c>
      <c r="AC31" s="76"/>
      <c r="AD31" s="73" t="s">
        <v>10</v>
      </c>
      <c r="AE31" s="64"/>
      <c r="AF31" s="64"/>
      <c r="AG31" s="64"/>
      <c r="AH31" s="64"/>
      <c r="AI31" s="64"/>
      <c r="AJ31" s="64"/>
      <c r="AK31" s="64"/>
      <c r="AL31" s="25" t="s">
        <v>11</v>
      </c>
      <c r="AM31" s="64"/>
      <c r="AN31" s="64"/>
      <c r="AO31" s="99">
        <f>IF(AO27=0,0,AO24*$E$20/(AO27*60))</f>
        <v>0</v>
      </c>
      <c r="AP31" s="24" t="s">
        <v>510</v>
      </c>
      <c r="AQ31" s="81"/>
      <c r="AR31" s="53"/>
      <c r="AS31" s="260"/>
      <c r="AT31" s="261"/>
      <c r="AU31" s="261"/>
      <c r="AV31" s="261"/>
      <c r="AW31" s="261"/>
      <c r="AX31" s="261"/>
      <c r="AY31" s="262"/>
      <c r="AZ31" s="54"/>
    </row>
    <row r="32" spans="1:52" ht="15.75" customHeight="1">
      <c r="A32" s="53"/>
      <c r="B32" s="293"/>
      <c r="C32" s="294"/>
      <c r="D32" s="294"/>
      <c r="E32" s="294"/>
      <c r="F32" s="294"/>
      <c r="G32" s="294"/>
      <c r="H32" s="294"/>
      <c r="I32" s="294"/>
      <c r="J32" s="294"/>
      <c r="K32" s="294"/>
      <c r="L32" s="294"/>
      <c r="M32" s="294"/>
      <c r="N32" s="294"/>
      <c r="O32" s="294"/>
      <c r="P32" s="294"/>
      <c r="Q32" s="294"/>
      <c r="R32" s="295"/>
      <c r="S32" s="54"/>
      <c r="T32" s="82"/>
      <c r="U32" s="27" t="s">
        <v>623</v>
      </c>
      <c r="V32" s="25" t="s">
        <v>503</v>
      </c>
      <c r="W32" s="99">
        <f>IF(W26=0,0,W31*75/($N$22-W8))</f>
        <v>0</v>
      </c>
      <c r="X32" s="24" t="s">
        <v>508</v>
      </c>
      <c r="Y32" s="152"/>
      <c r="Z32" s="64"/>
      <c r="AA32" s="99">
        <f>IF(AA26=0,0,AA31*75/($N$22-AD8))</f>
        <v>0</v>
      </c>
      <c r="AB32" s="24" t="s">
        <v>509</v>
      </c>
      <c r="AC32" s="76"/>
      <c r="AD32" s="73" t="s">
        <v>34</v>
      </c>
      <c r="AE32" s="64"/>
      <c r="AF32" s="64"/>
      <c r="AG32" s="64"/>
      <c r="AH32" s="64"/>
      <c r="AI32" s="64"/>
      <c r="AJ32" s="64"/>
      <c r="AK32" s="64"/>
      <c r="AL32" s="67" t="s">
        <v>16</v>
      </c>
      <c r="AM32" s="64"/>
      <c r="AN32" s="64"/>
      <c r="AO32" s="100">
        <f>IF(AO31=0,0,W33/AO31)</f>
        <v>0</v>
      </c>
      <c r="AP32" s="25" t="s">
        <v>385</v>
      </c>
      <c r="AQ32" s="81"/>
      <c r="AR32" s="53"/>
      <c r="AS32" s="260"/>
      <c r="AT32" s="261"/>
      <c r="AU32" s="261"/>
      <c r="AV32" s="261"/>
      <c r="AW32" s="261"/>
      <c r="AX32" s="261"/>
      <c r="AY32" s="262"/>
      <c r="AZ32" s="54"/>
    </row>
    <row r="33" spans="1:52" ht="15.75" customHeight="1">
      <c r="A33" s="53"/>
      <c r="B33" s="293"/>
      <c r="C33" s="294"/>
      <c r="D33" s="294"/>
      <c r="E33" s="294"/>
      <c r="F33" s="294"/>
      <c r="G33" s="294"/>
      <c r="H33" s="294"/>
      <c r="I33" s="294"/>
      <c r="J33" s="294"/>
      <c r="K33" s="294"/>
      <c r="L33" s="294"/>
      <c r="M33" s="294"/>
      <c r="N33" s="294"/>
      <c r="O33" s="294"/>
      <c r="P33" s="294"/>
      <c r="Q33" s="294"/>
      <c r="R33" s="295"/>
      <c r="S33" s="54"/>
      <c r="T33" s="82"/>
      <c r="U33" s="27" t="s">
        <v>10</v>
      </c>
      <c r="V33" s="25" t="s">
        <v>11</v>
      </c>
      <c r="W33" s="99">
        <f>IF(W27=0,0,W24*$E$20/(W27*60))</f>
        <v>0</v>
      </c>
      <c r="X33" s="24" t="s">
        <v>511</v>
      </c>
      <c r="Y33" s="152"/>
      <c r="Z33" s="64"/>
      <c r="AA33" s="99">
        <f>IF(AA27=0,0,AA24*$E$20/(AA27*60))</f>
        <v>0</v>
      </c>
      <c r="AB33" s="24" t="s">
        <v>512</v>
      </c>
      <c r="AC33" s="76"/>
      <c r="AQ33" s="81"/>
      <c r="AR33" s="53"/>
      <c r="AS33" s="260"/>
      <c r="AT33" s="261"/>
      <c r="AU33" s="261"/>
      <c r="AV33" s="261"/>
      <c r="AW33" s="261"/>
      <c r="AX33" s="261"/>
      <c r="AY33" s="262"/>
      <c r="AZ33" s="54"/>
    </row>
    <row r="34" spans="1:52" ht="15.75" customHeight="1" thickBot="1">
      <c r="A34" s="53"/>
      <c r="B34" s="304"/>
      <c r="C34" s="305"/>
      <c r="D34" s="305"/>
      <c r="E34" s="305"/>
      <c r="F34" s="305"/>
      <c r="G34" s="305"/>
      <c r="H34" s="305"/>
      <c r="I34" s="305"/>
      <c r="J34" s="305"/>
      <c r="K34" s="305"/>
      <c r="L34" s="305"/>
      <c r="M34" s="305"/>
      <c r="N34" s="305"/>
      <c r="O34" s="305"/>
      <c r="P34" s="305"/>
      <c r="Q34" s="305"/>
      <c r="R34" s="306"/>
      <c r="S34" s="54"/>
      <c r="T34" s="82"/>
      <c r="U34" s="77"/>
      <c r="V34" s="77"/>
      <c r="W34" s="77"/>
      <c r="X34" s="77"/>
      <c r="Y34" s="151"/>
      <c r="Z34" s="77"/>
      <c r="AA34" s="77"/>
      <c r="AB34" s="77"/>
      <c r="AC34" s="101"/>
      <c r="AD34" s="77"/>
      <c r="AE34" s="77"/>
      <c r="AF34" s="77"/>
      <c r="AG34" s="77"/>
      <c r="AH34" s="77"/>
      <c r="AI34" s="77"/>
      <c r="AJ34" s="77"/>
      <c r="AK34" s="77"/>
      <c r="AL34" s="77"/>
      <c r="AM34" s="77"/>
      <c r="AN34" s="77"/>
      <c r="AO34" s="77"/>
      <c r="AP34" s="77"/>
      <c r="AQ34" s="81"/>
      <c r="AR34" s="53"/>
      <c r="AS34" s="289"/>
      <c r="AT34" s="290"/>
      <c r="AU34" s="290"/>
      <c r="AV34" s="290"/>
      <c r="AW34" s="290"/>
      <c r="AX34" s="290"/>
      <c r="AY34" s="291"/>
      <c r="AZ34" s="54"/>
    </row>
    <row r="35" spans="1:52" ht="13.5" thickBot="1">
      <c r="A35" s="65"/>
      <c r="B35" s="41" t="s">
        <v>600</v>
      </c>
      <c r="C35" s="41"/>
      <c r="D35" s="41"/>
      <c r="E35" s="41"/>
      <c r="F35" s="41"/>
      <c r="G35" s="41"/>
      <c r="H35" s="41"/>
      <c r="I35" s="41"/>
      <c r="J35" s="42"/>
      <c r="K35" s="42"/>
      <c r="L35" s="42"/>
      <c r="M35" s="42"/>
      <c r="N35" s="42"/>
      <c r="O35" s="42"/>
      <c r="P35" s="42"/>
      <c r="Q35" s="42"/>
      <c r="R35" s="42"/>
      <c r="S35" s="66"/>
      <c r="T35" s="83"/>
      <c r="U35" s="41" t="s">
        <v>601</v>
      </c>
      <c r="V35" s="84"/>
      <c r="W35" s="84"/>
      <c r="X35" s="85"/>
      <c r="Y35" s="85"/>
      <c r="Z35" s="85"/>
      <c r="AA35" s="86"/>
      <c r="AB35" s="87"/>
      <c r="AC35" s="84"/>
      <c r="AD35" s="84"/>
      <c r="AE35" s="84"/>
      <c r="AF35" s="84"/>
      <c r="AG35" s="84"/>
      <c r="AH35" s="84"/>
      <c r="AI35" s="84"/>
      <c r="AJ35" s="84"/>
      <c r="AK35" s="84"/>
      <c r="AL35" s="84"/>
      <c r="AM35" s="84"/>
      <c r="AN35" s="84"/>
      <c r="AO35" s="84"/>
      <c r="AP35" s="84"/>
      <c r="AQ35" s="88"/>
      <c r="AR35" s="65"/>
      <c r="AS35" s="277" t="s">
        <v>602</v>
      </c>
      <c r="AT35" s="277"/>
      <c r="AU35" s="277"/>
      <c r="AV35" s="277"/>
      <c r="AW35" s="277"/>
      <c r="AX35" s="277"/>
      <c r="AY35" s="277"/>
      <c r="AZ35" s="66"/>
    </row>
    <row r="36" spans="19:51" ht="14.25" customHeight="1" thickTop="1">
      <c r="S36" s="48"/>
      <c r="AS36" s="28"/>
      <c r="AT36" s="28"/>
      <c r="AU36" s="28"/>
      <c r="AV36" s="28"/>
      <c r="AW36" s="28"/>
      <c r="AX36" s="28"/>
      <c r="AY36" s="28"/>
    </row>
    <row r="37" ht="14.25" customHeight="1">
      <c r="AW37" s="31" t="s">
        <v>567</v>
      </c>
    </row>
    <row r="38" spans="45:51" ht="12.75">
      <c r="AS38" s="30"/>
      <c r="AT38" s="26"/>
      <c r="AU38" s="27"/>
      <c r="AW38" s="31"/>
      <c r="AX38" s="27"/>
      <c r="AY38" s="27"/>
    </row>
    <row r="39" spans="45:51" ht="18" customHeight="1">
      <c r="AS39" s="22"/>
      <c r="AT39" s="26"/>
      <c r="AU39" s="27"/>
      <c r="AW39" s="31"/>
      <c r="AX39" s="27"/>
      <c r="AY39" s="27"/>
    </row>
    <row r="40" spans="45:51" ht="27.75" customHeight="1">
      <c r="AS40" s="27"/>
      <c r="AT40" s="26"/>
      <c r="AU40" s="27"/>
      <c r="AW40" s="31"/>
      <c r="AX40" s="27"/>
      <c r="AY40" s="27"/>
    </row>
    <row r="41" ht="27.75" customHeight="1">
      <c r="AW41" s="31"/>
    </row>
    <row r="42" ht="27.75" customHeight="1">
      <c r="AW42" s="31"/>
    </row>
    <row r="43" ht="27.75" customHeight="1">
      <c r="AW43" s="31"/>
    </row>
    <row r="44" ht="27.75" customHeight="1">
      <c r="AW44" s="31"/>
    </row>
    <row r="46" spans="3:18" ht="27.75" customHeight="1">
      <c r="C46" s="29"/>
      <c r="H46" s="29"/>
      <c r="I46" s="29"/>
      <c r="J46" s="29"/>
      <c r="K46" s="29"/>
      <c r="L46" s="29"/>
      <c r="M46" s="29"/>
      <c r="N46" s="29"/>
      <c r="O46" s="29"/>
      <c r="P46" s="29"/>
      <c r="Q46" s="29"/>
      <c r="R46" s="29"/>
    </row>
    <row r="47" spans="3:18" ht="27.75" customHeight="1">
      <c r="C47" s="29"/>
      <c r="H47" s="29"/>
      <c r="I47" s="29"/>
      <c r="J47" s="29"/>
      <c r="K47" s="29"/>
      <c r="L47" s="29"/>
      <c r="M47" s="29"/>
      <c r="N47" s="29"/>
      <c r="O47" s="29"/>
      <c r="P47" s="29"/>
      <c r="Q47" s="29"/>
      <c r="R47" s="29"/>
    </row>
    <row r="48" spans="3:18" ht="27.75" customHeight="1">
      <c r="C48" s="29"/>
      <c r="H48" s="29"/>
      <c r="I48" s="29"/>
      <c r="J48" s="29"/>
      <c r="K48" s="29"/>
      <c r="L48" s="29"/>
      <c r="M48" s="29"/>
      <c r="N48" s="29"/>
      <c r="O48" s="29"/>
      <c r="P48" s="29"/>
      <c r="Q48" s="29"/>
      <c r="R48" s="29"/>
    </row>
    <row r="49" spans="3:18" ht="27.75" customHeight="1">
      <c r="C49" s="29"/>
      <c r="H49" s="29"/>
      <c r="I49" s="29"/>
      <c r="J49" s="29"/>
      <c r="K49" s="29"/>
      <c r="L49" s="29"/>
      <c r="M49" s="29"/>
      <c r="N49" s="29"/>
      <c r="O49" s="29"/>
      <c r="P49" s="29"/>
      <c r="Q49" s="29"/>
      <c r="R49" s="29"/>
    </row>
    <row r="50" spans="4:7" ht="27.75" customHeight="1">
      <c r="D50" s="26"/>
      <c r="E50" s="68"/>
      <c r="F50" s="27"/>
      <c r="G50" s="27"/>
    </row>
    <row r="51" spans="2:18" ht="27.75" customHeight="1">
      <c r="B51" s="30"/>
      <c r="C51" s="29"/>
      <c r="D51" s="26"/>
      <c r="E51" s="27"/>
      <c r="H51" s="29"/>
      <c r="I51" s="29"/>
      <c r="J51" s="29"/>
      <c r="K51" s="29"/>
      <c r="L51" s="29"/>
      <c r="M51" s="29"/>
      <c r="N51" s="29"/>
      <c r="O51" s="29"/>
      <c r="P51" s="29"/>
      <c r="Q51" s="29"/>
      <c r="R51" s="29"/>
    </row>
  </sheetData>
  <sheetProtection formatCells="0"/>
  <mergeCells count="72">
    <mergeCell ref="B34:R34"/>
    <mergeCell ref="AS35:AY35"/>
    <mergeCell ref="B27:R27"/>
    <mergeCell ref="K17:M17"/>
    <mergeCell ref="K18:M18"/>
    <mergeCell ref="B26:R26"/>
    <mergeCell ref="E25:R25"/>
    <mergeCell ref="AS22:AY22"/>
    <mergeCell ref="AS23:AY23"/>
    <mergeCell ref="AS20:AY20"/>
    <mergeCell ref="B16:D16"/>
    <mergeCell ref="B17:D17"/>
    <mergeCell ref="B22:D22"/>
    <mergeCell ref="K22:M22"/>
    <mergeCell ref="B18:D18"/>
    <mergeCell ref="B20:D20"/>
    <mergeCell ref="K20:M20"/>
    <mergeCell ref="B21:D21"/>
    <mergeCell ref="K21:M21"/>
    <mergeCell ref="D6:K6"/>
    <mergeCell ref="M6:R9"/>
    <mergeCell ref="AS9:AY9"/>
    <mergeCell ref="AH3:AI3"/>
    <mergeCell ref="AK3:AL3"/>
    <mergeCell ref="AO3:AP3"/>
    <mergeCell ref="AA4:AB4"/>
    <mergeCell ref="AH4:AI4"/>
    <mergeCell ref="AK4:AL4"/>
    <mergeCell ref="AO4:AP4"/>
    <mergeCell ref="AS21:AY21"/>
    <mergeCell ref="AS18:AY18"/>
    <mergeCell ref="B19:D19"/>
    <mergeCell ref="K19:M19"/>
    <mergeCell ref="AS19:AY19"/>
    <mergeCell ref="AS15:AY15"/>
    <mergeCell ref="W16:X16"/>
    <mergeCell ref="AD16:AE16"/>
    <mergeCell ref="AK16:AL16"/>
    <mergeCell ref="AS16:AY16"/>
    <mergeCell ref="AS11:AY11"/>
    <mergeCell ref="AS12:AY12"/>
    <mergeCell ref="AS4:AY4"/>
    <mergeCell ref="AS6:AY6"/>
    <mergeCell ref="AS8:AY8"/>
    <mergeCell ref="AS5:AY5"/>
    <mergeCell ref="AK2:AP2"/>
    <mergeCell ref="AS26:AY26"/>
    <mergeCell ref="AS27:AY27"/>
    <mergeCell ref="B29:R29"/>
    <mergeCell ref="A2:S2"/>
    <mergeCell ref="W3:X3"/>
    <mergeCell ref="AA3:AB3"/>
    <mergeCell ref="AD3:AE3"/>
    <mergeCell ref="AS10:AY10"/>
    <mergeCell ref="D12:I12"/>
    <mergeCell ref="AS32:AY32"/>
    <mergeCell ref="B33:R33"/>
    <mergeCell ref="AS33:AY33"/>
    <mergeCell ref="B30:R30"/>
    <mergeCell ref="AS30:AY30"/>
    <mergeCell ref="B31:R31"/>
    <mergeCell ref="AS31:AY31"/>
    <mergeCell ref="W2:AB2"/>
    <mergeCell ref="AD2:AI2"/>
    <mergeCell ref="D13:I13"/>
    <mergeCell ref="AS34:AY34"/>
    <mergeCell ref="D7:K7"/>
    <mergeCell ref="D8:K8"/>
    <mergeCell ref="D9:K9"/>
    <mergeCell ref="D10:K10"/>
    <mergeCell ref="D11:K11"/>
    <mergeCell ref="B32:R32"/>
  </mergeCells>
  <printOptions/>
  <pageMargins left="0.75" right="0.75" top="0.75" bottom="0.75" header="0.5" footer="0.5"/>
  <pageSetup horizontalDpi="1200" verticalDpi="1200" orientation="landscape" scale="96" r:id="rId4"/>
  <headerFooter alignWithMargins="0">
    <oddFooter>&amp;L&amp;F&amp;C&amp;A&amp;RPage &amp;P</oddFooter>
  </headerFooter>
  <rowBreaks count="1" manualBreakCount="1">
    <brk id="36" max="255" man="1"/>
  </rowBreaks>
  <colBreaks count="2" manualBreakCount="2">
    <brk id="19" max="34" man="1"/>
    <brk id="43" max="34" man="1"/>
  </colBreaks>
  <drawing r:id="rId3"/>
  <legacyDrawing r:id="rId2"/>
</worksheet>
</file>

<file path=xl/worksheets/sheet4.xml><?xml version="1.0" encoding="utf-8"?>
<worksheet xmlns="http://schemas.openxmlformats.org/spreadsheetml/2006/main" xmlns:r="http://schemas.openxmlformats.org/officeDocument/2006/relationships">
  <dimension ref="A1:X32"/>
  <sheetViews>
    <sheetView showGridLines="0" view="pageBreakPreview" zoomScale="80" zoomScaleSheetLayoutView="80" workbookViewId="0" topLeftCell="A1">
      <selection activeCell="F27" sqref="F27"/>
    </sheetView>
  </sheetViews>
  <sheetFormatPr defaultColWidth="9.140625" defaultRowHeight="12.75"/>
  <cols>
    <col min="1" max="1" width="1.7109375" style="166" customWidth="1"/>
    <col min="2" max="2" width="3.57421875" style="166" customWidth="1"/>
    <col min="3" max="3" width="11.28125" style="166" customWidth="1"/>
    <col min="4" max="4" width="30.00390625" style="166" customWidth="1"/>
    <col min="5" max="5" width="8.00390625" style="166" customWidth="1"/>
    <col min="6" max="6" width="6.7109375" style="188" customWidth="1"/>
    <col min="7" max="9" width="8.7109375" style="199" customWidth="1"/>
    <col min="10" max="10" width="10.7109375" style="193" customWidth="1"/>
    <col min="11" max="11" width="10.8515625" style="193" bestFit="1" customWidth="1"/>
    <col min="12" max="12" width="7.8515625" style="166" customWidth="1"/>
    <col min="13" max="13" width="3.57421875" style="166" customWidth="1"/>
    <col min="14" max="14" width="1.7109375" style="166" customWidth="1"/>
    <col min="15" max="16384" width="9.140625" style="166" customWidth="1"/>
  </cols>
  <sheetData>
    <row r="1" spans="1:14" ht="18" customHeight="1" thickTop="1">
      <c r="A1" s="161"/>
      <c r="B1" s="162"/>
      <c r="C1" s="163" t="s">
        <v>684</v>
      </c>
      <c r="D1" s="163"/>
      <c r="E1" s="163"/>
      <c r="F1" s="163"/>
      <c r="G1" s="194"/>
      <c r="H1" s="194"/>
      <c r="I1" s="195"/>
      <c r="J1" s="189"/>
      <c r="K1" s="189"/>
      <c r="L1" s="164"/>
      <c r="M1" s="164"/>
      <c r="N1" s="165"/>
    </row>
    <row r="2" spans="1:14" ht="18" customHeight="1">
      <c r="A2" s="167"/>
      <c r="B2" s="168"/>
      <c r="C2" s="169" t="s">
        <v>14</v>
      </c>
      <c r="E2" s="169"/>
      <c r="F2" s="308" t="str">
        <f>IF('Test-1'!D10=0," ",'Test-1'!D10)</f>
        <v> </v>
      </c>
      <c r="G2" s="308"/>
      <c r="H2" s="308"/>
      <c r="I2" s="308"/>
      <c r="J2" s="308"/>
      <c r="K2" s="308"/>
      <c r="L2" s="308"/>
      <c r="M2" s="168"/>
      <c r="N2" s="171"/>
    </row>
    <row r="3" spans="1:14" ht="18" customHeight="1">
      <c r="A3" s="167"/>
      <c r="B3" s="168"/>
      <c r="C3" s="169" t="s">
        <v>2</v>
      </c>
      <c r="E3" s="169"/>
      <c r="F3" s="308" t="str">
        <f>IF('Test-1'!D11=0," ",'Test-1'!D11)</f>
        <v> </v>
      </c>
      <c r="G3" s="308"/>
      <c r="H3" s="308"/>
      <c r="I3" s="308"/>
      <c r="J3" s="308"/>
      <c r="K3" s="308"/>
      <c r="L3" s="308"/>
      <c r="M3" s="168"/>
      <c r="N3" s="171"/>
    </row>
    <row r="4" spans="1:14" ht="18" customHeight="1">
      <c r="A4" s="167"/>
      <c r="B4" s="168"/>
      <c r="C4" s="169" t="s">
        <v>387</v>
      </c>
      <c r="E4" s="169"/>
      <c r="F4" s="307" t="str">
        <f>VLOOKUP('Test-1'!D12,'Calorific values'!D3:F88,2,0)</f>
        <v>(Select from list)</v>
      </c>
      <c r="G4" s="307"/>
      <c r="H4" s="307"/>
      <c r="I4" s="307"/>
      <c r="J4" s="307"/>
      <c r="K4" s="307"/>
      <c r="L4" s="307"/>
      <c r="M4" s="168"/>
      <c r="N4" s="171"/>
    </row>
    <row r="5" spans="1:14" ht="18" customHeight="1">
      <c r="A5" s="167"/>
      <c r="B5" s="168"/>
      <c r="C5" s="169" t="s">
        <v>388</v>
      </c>
      <c r="E5" s="169"/>
      <c r="F5" s="307" t="str">
        <f>VLOOKUP('Test-1'!D13,'Calorific values'!A3:B14,2,0)</f>
        <v>(Select from list)</v>
      </c>
      <c r="G5" s="307"/>
      <c r="H5" s="307"/>
      <c r="I5" s="307"/>
      <c r="J5" s="307"/>
      <c r="K5" s="307"/>
      <c r="L5" s="307"/>
      <c r="M5" s="168"/>
      <c r="N5" s="171"/>
    </row>
    <row r="6" spans="1:14" ht="9" customHeight="1">
      <c r="A6" s="167"/>
      <c r="B6" s="168"/>
      <c r="C6" s="168"/>
      <c r="D6" s="168"/>
      <c r="E6" s="168"/>
      <c r="F6" s="170"/>
      <c r="G6" s="196"/>
      <c r="H6" s="196"/>
      <c r="I6" s="196"/>
      <c r="J6" s="190"/>
      <c r="K6" s="190"/>
      <c r="L6" s="168"/>
      <c r="N6" s="171"/>
    </row>
    <row r="7" spans="1:24" ht="18" customHeight="1">
      <c r="A7" s="167"/>
      <c r="B7" s="168"/>
      <c r="C7" s="168"/>
      <c r="D7" s="172" t="s">
        <v>30</v>
      </c>
      <c r="E7" s="173"/>
      <c r="F7" s="174" t="s">
        <v>20</v>
      </c>
      <c r="G7" s="197" t="s">
        <v>389</v>
      </c>
      <c r="H7" s="197" t="s">
        <v>390</v>
      </c>
      <c r="I7" s="197" t="s">
        <v>391</v>
      </c>
      <c r="J7" s="233" t="s">
        <v>392</v>
      </c>
      <c r="K7" s="191" t="s">
        <v>393</v>
      </c>
      <c r="L7" s="168"/>
      <c r="N7" s="171"/>
      <c r="Q7" s="169"/>
      <c r="R7" s="169"/>
      <c r="S7" s="169"/>
      <c r="T7" s="169"/>
      <c r="U7" s="169"/>
      <c r="W7" s="169"/>
      <c r="X7" s="169"/>
    </row>
    <row r="8" spans="1:15" ht="18" customHeight="1">
      <c r="A8" s="167"/>
      <c r="B8" s="168"/>
      <c r="C8" s="168"/>
      <c r="D8" s="176" t="s">
        <v>566</v>
      </c>
      <c r="E8" s="177"/>
      <c r="F8" s="170" t="s">
        <v>25</v>
      </c>
      <c r="G8" s="201">
        <f>'Test-1'!$W27</f>
        <v>0</v>
      </c>
      <c r="H8" s="201">
        <f>'Test-2'!$W27</f>
        <v>0</v>
      </c>
      <c r="I8" s="201">
        <f>'Test-3'!$W27</f>
        <v>0</v>
      </c>
      <c r="J8" s="234">
        <f aca="true" t="shared" si="0" ref="J8:J14">SUMIF(G8:I8,"&gt;0",G8:I8)/IF(G8=0,1,COUNTIF(G8:I8,"&gt;0"))</f>
        <v>0</v>
      </c>
      <c r="K8" s="200">
        <f aca="true" t="shared" si="1" ref="K8:K14">IF(PRODUCT(G8:I8)=0,0,STDEV(G8:I8))</f>
        <v>0</v>
      </c>
      <c r="L8" s="168"/>
      <c r="N8" s="171"/>
      <c r="O8" s="27"/>
    </row>
    <row r="9" spans="1:15" ht="18" customHeight="1">
      <c r="A9" s="167"/>
      <c r="B9" s="168"/>
      <c r="C9" s="168"/>
      <c r="D9" s="176" t="s">
        <v>683</v>
      </c>
      <c r="E9" s="177"/>
      <c r="F9" s="170" t="s">
        <v>25</v>
      </c>
      <c r="G9" s="201">
        <f>'Test-1'!$W28</f>
        <v>0</v>
      </c>
      <c r="H9" s="201">
        <f>'Test-2'!$W28</f>
        <v>0</v>
      </c>
      <c r="I9" s="201">
        <f>'Test-3'!$W28</f>
        <v>0</v>
      </c>
      <c r="J9" s="234">
        <f t="shared" si="0"/>
        <v>0</v>
      </c>
      <c r="K9" s="200">
        <f t="shared" si="1"/>
        <v>0</v>
      </c>
      <c r="L9" s="168"/>
      <c r="N9" s="171"/>
      <c r="O9" s="27"/>
    </row>
    <row r="10" spans="1:15" ht="18" customHeight="1">
      <c r="A10" s="167"/>
      <c r="B10" s="168"/>
      <c r="C10" s="168"/>
      <c r="D10" s="176" t="s">
        <v>6</v>
      </c>
      <c r="E10" s="177"/>
      <c r="F10" s="170" t="s">
        <v>625</v>
      </c>
      <c r="G10" s="201">
        <f>'Test-1'!$W30</f>
        <v>0</v>
      </c>
      <c r="H10" s="201">
        <f>'Test-2'!$W30</f>
        <v>0</v>
      </c>
      <c r="I10" s="201">
        <f>'Test-3'!$W30</f>
        <v>0</v>
      </c>
      <c r="J10" s="234">
        <f t="shared" si="0"/>
        <v>0</v>
      </c>
      <c r="K10" s="200">
        <f t="shared" si="1"/>
        <v>0</v>
      </c>
      <c r="L10" s="168"/>
      <c r="N10" s="171"/>
      <c r="O10" s="27"/>
    </row>
    <row r="11" spans="1:15" ht="18" customHeight="1">
      <c r="A11" s="167"/>
      <c r="B11" s="168"/>
      <c r="C11" s="168"/>
      <c r="D11" s="176" t="s">
        <v>33</v>
      </c>
      <c r="E11" s="177"/>
      <c r="F11" s="170" t="s">
        <v>22</v>
      </c>
      <c r="G11" s="241">
        <f>'Test-1'!$W29</f>
        <v>0</v>
      </c>
      <c r="H11" s="241">
        <f>'Test-2'!$W29</f>
        <v>0</v>
      </c>
      <c r="I11" s="241">
        <f>'Test-3'!$W29</f>
        <v>0</v>
      </c>
      <c r="J11" s="240">
        <f t="shared" si="0"/>
        <v>0</v>
      </c>
      <c r="K11" s="242">
        <f t="shared" si="1"/>
        <v>0</v>
      </c>
      <c r="L11" s="168"/>
      <c r="N11" s="171"/>
      <c r="O11" s="27"/>
    </row>
    <row r="12" spans="1:15" ht="18" customHeight="1">
      <c r="A12" s="167"/>
      <c r="B12" s="168"/>
      <c r="C12" s="168"/>
      <c r="D12" s="176" t="s">
        <v>8</v>
      </c>
      <c r="E12" s="177"/>
      <c r="F12" s="170" t="s">
        <v>626</v>
      </c>
      <c r="G12" s="201">
        <f>'Test-1'!$W31</f>
        <v>0</v>
      </c>
      <c r="H12" s="201">
        <f>'Test-2'!$W31</f>
        <v>0</v>
      </c>
      <c r="I12" s="201">
        <f>'Test-3'!$W31</f>
        <v>0</v>
      </c>
      <c r="J12" s="234">
        <f t="shared" si="0"/>
        <v>0</v>
      </c>
      <c r="K12" s="200">
        <f t="shared" si="1"/>
        <v>0</v>
      </c>
      <c r="L12" s="168"/>
      <c r="N12" s="171"/>
      <c r="O12" s="27"/>
    </row>
    <row r="13" spans="1:15" ht="18" customHeight="1">
      <c r="A13" s="167"/>
      <c r="B13" s="168"/>
      <c r="C13" s="168"/>
      <c r="D13" s="176" t="s">
        <v>386</v>
      </c>
      <c r="E13" s="177"/>
      <c r="F13" s="170" t="s">
        <v>626</v>
      </c>
      <c r="G13" s="201">
        <f>'Test-1'!$W32</f>
        <v>0</v>
      </c>
      <c r="H13" s="201">
        <f>'Test-2'!$W32</f>
        <v>0</v>
      </c>
      <c r="I13" s="201">
        <f>'Test-3'!$W32</f>
        <v>0</v>
      </c>
      <c r="J13" s="234">
        <f t="shared" si="0"/>
        <v>0</v>
      </c>
      <c r="K13" s="200">
        <f t="shared" si="1"/>
        <v>0</v>
      </c>
      <c r="L13" s="168"/>
      <c r="N13" s="171"/>
      <c r="O13" s="27"/>
    </row>
    <row r="14" spans="1:15" ht="18" customHeight="1">
      <c r="A14" s="167"/>
      <c r="B14" s="168"/>
      <c r="C14" s="168"/>
      <c r="D14" s="179" t="s">
        <v>10</v>
      </c>
      <c r="E14" s="180"/>
      <c r="F14" s="181" t="s">
        <v>11</v>
      </c>
      <c r="G14" s="202">
        <f>'Test-1'!$W33</f>
        <v>0</v>
      </c>
      <c r="H14" s="202">
        <f>'Test-2'!$W33</f>
        <v>0</v>
      </c>
      <c r="I14" s="202">
        <f>'Test-3'!$W33</f>
        <v>0</v>
      </c>
      <c r="J14" s="222">
        <f t="shared" si="0"/>
        <v>0</v>
      </c>
      <c r="K14" s="209">
        <f t="shared" si="1"/>
        <v>0</v>
      </c>
      <c r="L14" s="168"/>
      <c r="N14" s="171"/>
      <c r="O14" s="27"/>
    </row>
    <row r="15" spans="1:14" ht="9" customHeight="1">
      <c r="A15" s="167"/>
      <c r="B15" s="168"/>
      <c r="C15" s="168"/>
      <c r="D15" s="168"/>
      <c r="E15" s="168"/>
      <c r="F15" s="170"/>
      <c r="G15" s="196"/>
      <c r="H15" s="196"/>
      <c r="I15" s="196"/>
      <c r="J15" s="220"/>
      <c r="K15" s="190"/>
      <c r="L15" s="168"/>
      <c r="N15" s="171"/>
    </row>
    <row r="16" spans="1:14" ht="18" customHeight="1">
      <c r="A16" s="167"/>
      <c r="B16" s="168"/>
      <c r="C16" s="168"/>
      <c r="D16" s="172" t="s">
        <v>31</v>
      </c>
      <c r="E16" s="173"/>
      <c r="F16" s="174" t="s">
        <v>20</v>
      </c>
      <c r="G16" s="197" t="s">
        <v>389</v>
      </c>
      <c r="H16" s="197" t="s">
        <v>390</v>
      </c>
      <c r="I16" s="197" t="s">
        <v>391</v>
      </c>
      <c r="J16" s="235" t="s">
        <v>392</v>
      </c>
      <c r="K16" s="191" t="s">
        <v>393</v>
      </c>
      <c r="L16" s="175"/>
      <c r="N16" s="171"/>
    </row>
    <row r="17" spans="1:14" ht="18" customHeight="1">
      <c r="A17" s="167"/>
      <c r="B17" s="168"/>
      <c r="C17" s="168"/>
      <c r="D17" s="176" t="s">
        <v>566</v>
      </c>
      <c r="E17" s="177"/>
      <c r="F17" s="170" t="s">
        <v>25</v>
      </c>
      <c r="G17" s="201">
        <f>'Test-1'!$AA27</f>
        <v>0</v>
      </c>
      <c r="H17" s="201">
        <f>'Test-2'!$AA27</f>
        <v>0</v>
      </c>
      <c r="I17" s="225">
        <f>'Test-3'!$AA27</f>
        <v>0</v>
      </c>
      <c r="J17" s="234">
        <f aca="true" t="shared" si="2" ref="J17:J23">SUMIF(G17:I17,"&gt;0",G17:I17)/IF(G17=0,1,COUNTIF(G17:I17,"&gt;0"))</f>
        <v>0</v>
      </c>
      <c r="K17" s="200">
        <f aca="true" t="shared" si="3" ref="K17:K23">IF(PRODUCT(G17:I17)=0,0,STDEV(G17:I17))</f>
        <v>0</v>
      </c>
      <c r="L17" s="168"/>
      <c r="N17" s="171"/>
    </row>
    <row r="18" spans="1:14" ht="18" customHeight="1">
      <c r="A18" s="167"/>
      <c r="B18" s="168"/>
      <c r="C18" s="168"/>
      <c r="D18" s="176" t="s">
        <v>683</v>
      </c>
      <c r="E18" s="177"/>
      <c r="F18" s="170" t="s">
        <v>25</v>
      </c>
      <c r="G18" s="201">
        <f>'Test-1'!$AA28</f>
        <v>0</v>
      </c>
      <c r="H18" s="201">
        <f>'Test-2'!$AA28</f>
        <v>0</v>
      </c>
      <c r="I18" s="201">
        <f>'Test-3'!$AA28</f>
        <v>0</v>
      </c>
      <c r="J18" s="234">
        <f t="shared" si="2"/>
        <v>0</v>
      </c>
      <c r="K18" s="200">
        <f t="shared" si="3"/>
        <v>0</v>
      </c>
      <c r="L18" s="168"/>
      <c r="N18" s="171"/>
    </row>
    <row r="19" spans="1:14" ht="18" customHeight="1">
      <c r="A19" s="167"/>
      <c r="B19" s="168"/>
      <c r="C19" s="168"/>
      <c r="D19" s="176" t="s">
        <v>6</v>
      </c>
      <c r="E19" s="177"/>
      <c r="F19" s="170" t="s">
        <v>625</v>
      </c>
      <c r="G19" s="201">
        <f>'Test-1'!$AA30</f>
        <v>0</v>
      </c>
      <c r="H19" s="201">
        <f>'Test-2'!$AA30</f>
        <v>0</v>
      </c>
      <c r="I19" s="201">
        <f>'Test-3'!$AA30</f>
        <v>0</v>
      </c>
      <c r="J19" s="234">
        <f t="shared" si="2"/>
        <v>0</v>
      </c>
      <c r="K19" s="200">
        <f t="shared" si="3"/>
        <v>0</v>
      </c>
      <c r="L19" s="168"/>
      <c r="N19" s="171"/>
    </row>
    <row r="20" spans="1:14" ht="18" customHeight="1">
      <c r="A20" s="167"/>
      <c r="B20" s="168"/>
      <c r="C20" s="168"/>
      <c r="D20" s="176" t="s">
        <v>33</v>
      </c>
      <c r="E20" s="177"/>
      <c r="F20" s="170" t="s">
        <v>22</v>
      </c>
      <c r="G20" s="241">
        <f>'Test-1'!$AA29</f>
        <v>0</v>
      </c>
      <c r="H20" s="241">
        <f>'Test-2'!$AA29</f>
        <v>0</v>
      </c>
      <c r="I20" s="241">
        <f>'Test-3'!$AA29</f>
        <v>0</v>
      </c>
      <c r="J20" s="240">
        <f t="shared" si="2"/>
        <v>0</v>
      </c>
      <c r="K20" s="242">
        <f t="shared" si="3"/>
        <v>0</v>
      </c>
      <c r="L20" s="168"/>
      <c r="N20" s="171"/>
    </row>
    <row r="21" spans="1:14" ht="18" customHeight="1">
      <c r="A21" s="167"/>
      <c r="B21" s="168"/>
      <c r="C21" s="168"/>
      <c r="D21" s="176" t="s">
        <v>8</v>
      </c>
      <c r="E21" s="177"/>
      <c r="F21" s="170" t="s">
        <v>626</v>
      </c>
      <c r="G21" s="201">
        <f>'Test-1'!$AA31</f>
        <v>0</v>
      </c>
      <c r="H21" s="201">
        <f>'Test-2'!$AA31</f>
        <v>0</v>
      </c>
      <c r="I21" s="201">
        <f>'Test-3'!$AA31</f>
        <v>0</v>
      </c>
      <c r="J21" s="234">
        <f t="shared" si="2"/>
        <v>0</v>
      </c>
      <c r="K21" s="200">
        <f t="shared" si="3"/>
        <v>0</v>
      </c>
      <c r="L21" s="168"/>
      <c r="N21" s="171"/>
    </row>
    <row r="22" spans="1:14" ht="18" customHeight="1">
      <c r="A22" s="167"/>
      <c r="B22" s="168"/>
      <c r="C22" s="168"/>
      <c r="D22" s="176" t="s">
        <v>386</v>
      </c>
      <c r="E22" s="177"/>
      <c r="F22" s="221" t="s">
        <v>626</v>
      </c>
      <c r="G22" s="201">
        <f>'Test-1'!$AA32</f>
        <v>0</v>
      </c>
      <c r="H22" s="201">
        <f>'Test-2'!$AA32</f>
        <v>0</v>
      </c>
      <c r="I22" s="201">
        <f>'Test-3'!$AA32</f>
        <v>0</v>
      </c>
      <c r="J22" s="234">
        <f t="shared" si="2"/>
        <v>0</v>
      </c>
      <c r="K22" s="200">
        <f t="shared" si="3"/>
        <v>0</v>
      </c>
      <c r="L22" s="168"/>
      <c r="N22" s="171"/>
    </row>
    <row r="23" spans="1:14" ht="18" customHeight="1">
      <c r="A23" s="167"/>
      <c r="B23" s="168"/>
      <c r="C23" s="168"/>
      <c r="D23" s="179" t="s">
        <v>10</v>
      </c>
      <c r="E23" s="180"/>
      <c r="F23" s="181" t="s">
        <v>11</v>
      </c>
      <c r="G23" s="202">
        <f>'Test-1'!$AA33</f>
        <v>0</v>
      </c>
      <c r="H23" s="202">
        <f>'Test-2'!$AA33</f>
        <v>0</v>
      </c>
      <c r="I23" s="202">
        <f>'Test-3'!$AA33</f>
        <v>0</v>
      </c>
      <c r="J23" s="222">
        <f t="shared" si="2"/>
        <v>0</v>
      </c>
      <c r="K23" s="209">
        <f t="shared" si="3"/>
        <v>0</v>
      </c>
      <c r="L23" s="168"/>
      <c r="N23" s="171"/>
    </row>
    <row r="24" spans="1:14" ht="9" customHeight="1">
      <c r="A24" s="167"/>
      <c r="B24" s="168"/>
      <c r="C24" s="168"/>
      <c r="D24" s="168"/>
      <c r="E24" s="168"/>
      <c r="F24" s="170"/>
      <c r="G24" s="196"/>
      <c r="H24" s="196"/>
      <c r="I24" s="196"/>
      <c r="J24" s="220"/>
      <c r="K24" s="190"/>
      <c r="L24" s="168"/>
      <c r="N24" s="171"/>
    </row>
    <row r="25" spans="1:14" ht="18" customHeight="1">
      <c r="A25" s="167"/>
      <c r="B25" s="168"/>
      <c r="C25" s="168"/>
      <c r="D25" s="172" t="s">
        <v>32</v>
      </c>
      <c r="E25" s="173"/>
      <c r="F25" s="174" t="s">
        <v>20</v>
      </c>
      <c r="G25" s="197" t="s">
        <v>389</v>
      </c>
      <c r="H25" s="197" t="s">
        <v>390</v>
      </c>
      <c r="I25" s="197" t="s">
        <v>391</v>
      </c>
      <c r="J25" s="235" t="s">
        <v>392</v>
      </c>
      <c r="K25" s="191" t="s">
        <v>393</v>
      </c>
      <c r="L25" s="175"/>
      <c r="N25" s="171"/>
    </row>
    <row r="26" spans="1:15" ht="18" customHeight="1">
      <c r="A26" s="167"/>
      <c r="B26" s="168"/>
      <c r="C26" s="168"/>
      <c r="D26" s="176" t="s">
        <v>6</v>
      </c>
      <c r="E26" s="177"/>
      <c r="F26" s="170" t="s">
        <v>625</v>
      </c>
      <c r="G26" s="201">
        <f>'Test-1'!$AO29</f>
        <v>0</v>
      </c>
      <c r="H26" s="201">
        <f>'Test-2'!$AO29</f>
        <v>0</v>
      </c>
      <c r="I26" s="201">
        <f>'Test-3'!$AO29</f>
        <v>0</v>
      </c>
      <c r="J26" s="234">
        <f>SUMIF(G26:I26,"&gt;0",G26:I26)/IF(G26=0,1,COUNTIF(G26:I26,"&gt;0"))</f>
        <v>0</v>
      </c>
      <c r="K26" s="200">
        <f>IF(PRODUCT(G26:I26)=0,0,STDEV(G26:I26))</f>
        <v>0</v>
      </c>
      <c r="L26" s="168"/>
      <c r="N26" s="171"/>
      <c r="O26" s="73"/>
    </row>
    <row r="27" spans="1:15" ht="18" customHeight="1">
      <c r="A27" s="167"/>
      <c r="B27" s="168"/>
      <c r="C27" s="168"/>
      <c r="D27" s="176" t="s">
        <v>33</v>
      </c>
      <c r="E27" s="177"/>
      <c r="F27" s="170" t="s">
        <v>22</v>
      </c>
      <c r="G27" s="241">
        <f>'Test-1'!$AO28</f>
        <v>0</v>
      </c>
      <c r="H27" s="241">
        <f>'Test-2'!$AO28</f>
        <v>0</v>
      </c>
      <c r="I27" s="241">
        <f>'Test-3'!$AO28</f>
        <v>0</v>
      </c>
      <c r="J27" s="240">
        <f>SUMIF(G27:I27,"&gt;0",G27:I27)/IF(G27=0,1,COUNTIF(G27:I27,"&gt;0"))</f>
        <v>0</v>
      </c>
      <c r="K27" s="242">
        <f>IF(PRODUCT(G27:I27)=0,0,STDEV(G27:I27))</f>
        <v>0</v>
      </c>
      <c r="L27" s="168"/>
      <c r="N27" s="171"/>
      <c r="O27" s="73"/>
    </row>
    <row r="28" spans="1:15" ht="18" customHeight="1">
      <c r="A28" s="167"/>
      <c r="B28" s="168"/>
      <c r="C28" s="168"/>
      <c r="D28" s="176" t="s">
        <v>8</v>
      </c>
      <c r="E28" s="177"/>
      <c r="F28" s="170" t="s">
        <v>626</v>
      </c>
      <c r="G28" s="201">
        <f>'Test-1'!$AO30</f>
        <v>0</v>
      </c>
      <c r="H28" s="201">
        <f>'Test-2'!$AO30</f>
        <v>0</v>
      </c>
      <c r="I28" s="201">
        <f>'Test-3'!$AO30</f>
        <v>0</v>
      </c>
      <c r="J28" s="234">
        <f>SUMIF(G28:I28,"&gt;0",G28:I28)/IF(G28=0,1,COUNTIF(G28:I28,"&gt;0"))</f>
        <v>0</v>
      </c>
      <c r="K28" s="200">
        <f>IF(PRODUCT(G28:I28)=0,0,STDEV(G28:I28))</f>
        <v>0</v>
      </c>
      <c r="L28" s="168"/>
      <c r="N28" s="171"/>
      <c r="O28" s="73"/>
    </row>
    <row r="29" spans="1:15" ht="18" customHeight="1">
      <c r="A29" s="167"/>
      <c r="B29" s="168"/>
      <c r="C29" s="168"/>
      <c r="D29" s="176" t="s">
        <v>10</v>
      </c>
      <c r="E29" s="177"/>
      <c r="F29" s="170" t="s">
        <v>11</v>
      </c>
      <c r="G29" s="201">
        <f>'Test-1'!$AO31</f>
        <v>0</v>
      </c>
      <c r="H29" s="201">
        <f>'Test-2'!$AO31</f>
        <v>0</v>
      </c>
      <c r="I29" s="201">
        <f>'Test-3'!$AO31</f>
        <v>0</v>
      </c>
      <c r="J29" s="236">
        <f>SUMIF(G29:I29,"&gt;0",G29:I29)/IF(G29=0,1,COUNTIF(G29:I29,"&gt;0"))</f>
        <v>0</v>
      </c>
      <c r="K29" s="200">
        <f>IF(PRODUCT(G29:I29)=0,0,STDEV(G29:I29))</f>
        <v>0</v>
      </c>
      <c r="L29" s="168"/>
      <c r="N29" s="171"/>
      <c r="O29" s="73"/>
    </row>
    <row r="30" spans="1:15" ht="18" customHeight="1">
      <c r="A30" s="167"/>
      <c r="B30" s="168"/>
      <c r="C30" s="168"/>
      <c r="D30" s="179" t="s">
        <v>34</v>
      </c>
      <c r="E30" s="180"/>
      <c r="F30" s="182" t="s">
        <v>16</v>
      </c>
      <c r="G30" s="203">
        <f>'Test-1'!$AO32</f>
        <v>0</v>
      </c>
      <c r="H30" s="203">
        <f>'Test-2'!$AO32</f>
        <v>0</v>
      </c>
      <c r="I30" s="203">
        <f>'Test-3'!$AO32</f>
        <v>0</v>
      </c>
      <c r="J30" s="223">
        <f>SUMIF(G30:I30,"&gt;0",G30:I30)/IF(G30=0,1,COUNTIF(G30:I30,"&gt;0"))</f>
        <v>0</v>
      </c>
      <c r="K30" s="209">
        <f>IF(PRODUCT(G30:I30)=0,0,STDEV(G30:I30))</f>
        <v>0</v>
      </c>
      <c r="L30" s="168"/>
      <c r="N30" s="171"/>
      <c r="O30" s="73"/>
    </row>
    <row r="31" spans="1:14" ht="6" customHeight="1">
      <c r="A31" s="167"/>
      <c r="B31" s="168"/>
      <c r="C31" s="168"/>
      <c r="D31" s="177"/>
      <c r="E31" s="177"/>
      <c r="F31" s="178"/>
      <c r="G31" s="196"/>
      <c r="H31" s="196"/>
      <c r="I31" s="196"/>
      <c r="J31" s="190"/>
      <c r="K31" s="190"/>
      <c r="L31" s="168"/>
      <c r="N31" s="171"/>
    </row>
    <row r="32" spans="1:14" ht="4.5" customHeight="1" thickBot="1">
      <c r="A32" s="183"/>
      <c r="B32" s="185"/>
      <c r="C32" s="185"/>
      <c r="D32" s="186"/>
      <c r="E32" s="186"/>
      <c r="F32" s="186"/>
      <c r="G32" s="198"/>
      <c r="H32" s="198"/>
      <c r="I32" s="198"/>
      <c r="J32" s="192"/>
      <c r="K32" s="192"/>
      <c r="L32" s="184"/>
      <c r="M32" s="184"/>
      <c r="N32" s="187"/>
    </row>
    <row r="33" ht="13.5" thickTop="1"/>
  </sheetData>
  <sheetProtection formatCells="0"/>
  <mergeCells count="4">
    <mergeCell ref="F4:L4"/>
    <mergeCell ref="F2:L2"/>
    <mergeCell ref="F3:L3"/>
    <mergeCell ref="F5:L5"/>
  </mergeCells>
  <printOptions/>
  <pageMargins left="0.75" right="0.75" top="0.75" bottom="0.75" header="0.5" footer="0.5"/>
  <pageSetup horizontalDpi="1200" verticalDpi="1200" orientation="landscape" scale="98" r:id="rId3"/>
  <headerFooter alignWithMargins="0">
    <oddFooter>&amp;L&amp;F&amp;C&amp;A&amp;RPage &amp;P</oddFooter>
  </headerFooter>
  <legacyDrawing r:id="rId2"/>
</worksheet>
</file>

<file path=xl/worksheets/sheet5.xml><?xml version="1.0" encoding="utf-8"?>
<worksheet xmlns="http://schemas.openxmlformats.org/spreadsheetml/2006/main" xmlns:r="http://schemas.openxmlformats.org/officeDocument/2006/relationships">
  <dimension ref="A1:V31"/>
  <sheetViews>
    <sheetView showGridLines="0" showZeros="0" view="pageBreakPreview" zoomScaleSheetLayoutView="100" workbookViewId="0" topLeftCell="A1">
      <selection activeCell="D14" sqref="D14"/>
    </sheetView>
  </sheetViews>
  <sheetFormatPr defaultColWidth="9.140625" defaultRowHeight="12.75"/>
  <cols>
    <col min="1" max="1" width="2.140625" style="0" customWidth="1"/>
    <col min="2" max="2" width="1.7109375" style="0" customWidth="1"/>
    <col min="3" max="3" width="8.28125" style="0" customWidth="1"/>
    <col min="4" max="6" width="8.7109375" style="0" customWidth="1"/>
    <col min="7" max="9" width="1.7109375" style="0" customWidth="1"/>
    <col min="10" max="10" width="8.28125" style="0" customWidth="1"/>
    <col min="11" max="13" width="8.7109375" style="0" customWidth="1"/>
    <col min="14" max="16" width="1.7109375" style="0" customWidth="1"/>
    <col min="17" max="17" width="8.28125" style="0" customWidth="1"/>
    <col min="18" max="20" width="8.7109375" style="0" customWidth="1"/>
    <col min="21" max="21" width="1.7109375" style="0" customWidth="1"/>
    <col min="22" max="23" width="2.57421875" style="0" customWidth="1"/>
  </cols>
  <sheetData>
    <row r="1" spans="1:22" ht="6" customHeight="1" thickTop="1">
      <c r="A1" s="102"/>
      <c r="B1" s="103"/>
      <c r="C1" s="103"/>
      <c r="D1" s="103"/>
      <c r="E1" s="103"/>
      <c r="F1" s="103"/>
      <c r="G1" s="103"/>
      <c r="H1" s="103"/>
      <c r="I1" s="103"/>
      <c r="J1" s="103"/>
      <c r="K1" s="103"/>
      <c r="L1" s="103"/>
      <c r="M1" s="103"/>
      <c r="N1" s="103"/>
      <c r="O1" s="103"/>
      <c r="P1" s="103"/>
      <c r="Q1" s="103"/>
      <c r="R1" s="103"/>
      <c r="S1" s="103"/>
      <c r="T1" s="103"/>
      <c r="U1" s="103"/>
      <c r="V1" s="104"/>
    </row>
    <row r="2" spans="1:22" ht="39" customHeight="1">
      <c r="A2" s="105"/>
      <c r="B2" s="309" t="s">
        <v>609</v>
      </c>
      <c r="C2" s="309"/>
      <c r="D2" s="309"/>
      <c r="E2" s="309"/>
      <c r="F2" s="309"/>
      <c r="G2" s="309"/>
      <c r="H2" s="309"/>
      <c r="I2" s="309"/>
      <c r="J2" s="309"/>
      <c r="K2" s="309"/>
      <c r="L2" s="309"/>
      <c r="M2" s="309"/>
      <c r="N2" s="309"/>
      <c r="O2" s="309"/>
      <c r="P2" s="309"/>
      <c r="Q2" s="309"/>
      <c r="R2" s="309"/>
      <c r="S2" s="309"/>
      <c r="T2" s="309"/>
      <c r="U2" s="309"/>
      <c r="V2" s="108"/>
    </row>
    <row r="3" spans="1:22" ht="45" customHeight="1">
      <c r="A3" s="105"/>
      <c r="B3" s="309" t="s">
        <v>610</v>
      </c>
      <c r="C3" s="309"/>
      <c r="D3" s="309"/>
      <c r="E3" s="309"/>
      <c r="F3" s="309"/>
      <c r="G3" s="309"/>
      <c r="H3" s="309"/>
      <c r="I3" s="309"/>
      <c r="J3" s="309"/>
      <c r="K3" s="309"/>
      <c r="L3" s="309"/>
      <c r="M3" s="309"/>
      <c r="N3" s="309"/>
      <c r="O3" s="309"/>
      <c r="P3" s="309"/>
      <c r="Q3" s="309"/>
      <c r="R3" s="309"/>
      <c r="S3" s="309"/>
      <c r="T3" s="309"/>
      <c r="U3" s="309"/>
      <c r="V3" s="108"/>
    </row>
    <row r="4" spans="1:22" ht="6" customHeight="1">
      <c r="A4" s="105"/>
      <c r="B4" s="8"/>
      <c r="C4" s="50"/>
      <c r="D4" s="50"/>
      <c r="E4" s="50"/>
      <c r="F4" s="50"/>
      <c r="G4" s="50"/>
      <c r="H4" s="50"/>
      <c r="I4" s="8"/>
      <c r="J4" s="50"/>
      <c r="K4" s="50"/>
      <c r="L4" s="50"/>
      <c r="M4" s="50"/>
      <c r="N4" s="50"/>
      <c r="O4" s="50"/>
      <c r="P4" s="8"/>
      <c r="Q4" s="50"/>
      <c r="R4" s="50"/>
      <c r="S4" s="50"/>
      <c r="T4" s="50"/>
      <c r="U4" s="50"/>
      <c r="V4" s="109"/>
    </row>
    <row r="5" spans="1:22" ht="6" customHeight="1">
      <c r="A5" s="105"/>
      <c r="B5" s="110"/>
      <c r="C5" s="111"/>
      <c r="D5" s="111"/>
      <c r="E5" s="111"/>
      <c r="F5" s="111"/>
      <c r="G5" s="112"/>
      <c r="H5" s="8"/>
      <c r="I5" s="110"/>
      <c r="J5" s="111"/>
      <c r="K5" s="111"/>
      <c r="L5" s="111"/>
      <c r="M5" s="111"/>
      <c r="N5" s="112"/>
      <c r="O5" s="8"/>
      <c r="V5" s="106"/>
    </row>
    <row r="6" spans="1:22" ht="12.75">
      <c r="A6" s="105"/>
      <c r="B6" s="113"/>
      <c r="C6" s="35" t="s">
        <v>611</v>
      </c>
      <c r="D6" s="310" t="s">
        <v>612</v>
      </c>
      <c r="E6" s="310"/>
      <c r="F6" s="310"/>
      <c r="G6" s="114"/>
      <c r="H6" s="8"/>
      <c r="I6" s="113"/>
      <c r="J6" s="35" t="s">
        <v>613</v>
      </c>
      <c r="K6" s="310" t="s">
        <v>612</v>
      </c>
      <c r="L6" s="310"/>
      <c r="M6" s="310"/>
      <c r="N6" s="114"/>
      <c r="O6" s="8"/>
      <c r="V6" s="106"/>
    </row>
    <row r="7" spans="1:22" ht="12.75">
      <c r="A7" s="105"/>
      <c r="B7" s="113"/>
      <c r="C7" s="35"/>
      <c r="D7" s="310" t="s">
        <v>615</v>
      </c>
      <c r="E7" s="310"/>
      <c r="F7" s="310"/>
      <c r="G7" s="114"/>
      <c r="H7" s="8"/>
      <c r="I7" s="113"/>
      <c r="J7" s="35"/>
      <c r="K7" s="310" t="s">
        <v>615</v>
      </c>
      <c r="L7" s="310"/>
      <c r="M7" s="310"/>
      <c r="N7" s="114"/>
      <c r="O7" s="8"/>
      <c r="V7" s="106"/>
    </row>
    <row r="8" spans="1:22" ht="15" customHeight="1">
      <c r="A8" s="105"/>
      <c r="B8" s="113"/>
      <c r="C8" s="8"/>
      <c r="D8" s="4">
        <v>1</v>
      </c>
      <c r="E8" s="4">
        <v>2</v>
      </c>
      <c r="F8" s="4">
        <v>3</v>
      </c>
      <c r="G8" s="114"/>
      <c r="H8" s="8"/>
      <c r="I8" s="113"/>
      <c r="J8" s="8"/>
      <c r="K8" s="4">
        <v>1</v>
      </c>
      <c r="L8" s="4">
        <v>2</v>
      </c>
      <c r="M8" s="4">
        <v>3</v>
      </c>
      <c r="N8" s="114"/>
      <c r="O8" s="8"/>
      <c r="V8" s="106"/>
    </row>
    <row r="9" spans="1:22" ht="20.25" customHeight="1">
      <c r="A9" s="105"/>
      <c r="B9" s="113"/>
      <c r="C9" s="8" t="s">
        <v>616</v>
      </c>
      <c r="D9" s="204"/>
      <c r="E9" s="205"/>
      <c r="F9" s="206"/>
      <c r="G9" s="114"/>
      <c r="H9" s="8"/>
      <c r="I9" s="113"/>
      <c r="J9" s="8" t="s">
        <v>616</v>
      </c>
      <c r="K9" s="204"/>
      <c r="L9" s="204"/>
      <c r="M9" s="206"/>
      <c r="N9" s="114"/>
      <c r="O9" s="8"/>
      <c r="V9" s="106"/>
    </row>
    <row r="10" spans="1:22" ht="20.25" customHeight="1">
      <c r="A10" s="105"/>
      <c r="B10" s="113"/>
      <c r="C10" s="8" t="s">
        <v>617</v>
      </c>
      <c r="D10" s="207"/>
      <c r="E10" s="207"/>
      <c r="F10" s="239"/>
      <c r="G10" s="114"/>
      <c r="H10" s="8"/>
      <c r="I10" s="113"/>
      <c r="J10" s="8" t="s">
        <v>617</v>
      </c>
      <c r="K10" s="207"/>
      <c r="L10" s="207"/>
      <c r="M10" s="208"/>
      <c r="N10" s="114"/>
      <c r="O10" s="8"/>
      <c r="V10" s="106"/>
    </row>
    <row r="11" spans="1:22" ht="20.25" customHeight="1">
      <c r="A11" s="105"/>
      <c r="B11" s="113"/>
      <c r="C11" s="8" t="s">
        <v>618</v>
      </c>
      <c r="D11" s="207"/>
      <c r="E11" s="207"/>
      <c r="F11" s="208"/>
      <c r="G11" s="114"/>
      <c r="H11" s="8"/>
      <c r="I11" s="113"/>
      <c r="J11" s="8" t="s">
        <v>618</v>
      </c>
      <c r="K11" s="207"/>
      <c r="L11" s="207"/>
      <c r="M11" s="208"/>
      <c r="N11" s="114"/>
      <c r="O11" s="8"/>
      <c r="V11" s="106"/>
    </row>
    <row r="12" spans="1:22" ht="6" customHeight="1">
      <c r="A12" s="105"/>
      <c r="B12" s="113"/>
      <c r="C12" s="8"/>
      <c r="D12" s="8"/>
      <c r="E12" s="8"/>
      <c r="F12" s="8"/>
      <c r="G12" s="114"/>
      <c r="H12" s="8"/>
      <c r="I12" s="113"/>
      <c r="J12" s="8"/>
      <c r="K12" s="8"/>
      <c r="L12" s="8"/>
      <c r="M12" s="8"/>
      <c r="N12" s="114"/>
      <c r="O12" s="8"/>
      <c r="V12" s="106"/>
    </row>
    <row r="13" spans="1:22" ht="18" customHeight="1">
      <c r="A13" s="105"/>
      <c r="B13" s="113"/>
      <c r="C13" s="8" t="s">
        <v>619</v>
      </c>
      <c r="D13" s="8"/>
      <c r="E13" s="8"/>
      <c r="F13" s="8"/>
      <c r="G13" s="114"/>
      <c r="H13" s="8"/>
      <c r="I13" s="113"/>
      <c r="J13" s="8" t="s">
        <v>619</v>
      </c>
      <c r="K13" s="8"/>
      <c r="L13" s="8"/>
      <c r="M13" s="8"/>
      <c r="N13" s="114"/>
      <c r="O13" s="8"/>
      <c r="V13" s="106"/>
    </row>
    <row r="14" spans="1:22" ht="18" customHeight="1">
      <c r="A14" s="105"/>
      <c r="B14" s="113"/>
      <c r="C14" s="115" t="s">
        <v>620</v>
      </c>
      <c r="D14" s="116">
        <f>IF(D9=0,0,AVERAGE(D9:F11))</f>
        <v>0</v>
      </c>
      <c r="E14" s="117" t="s">
        <v>621</v>
      </c>
      <c r="F14" s="116">
        <f>IF(D9=0,0,D14/(1+D14))</f>
        <v>0</v>
      </c>
      <c r="G14" s="114"/>
      <c r="H14" s="8"/>
      <c r="I14" s="113"/>
      <c r="J14" s="115" t="s">
        <v>620</v>
      </c>
      <c r="K14" s="116">
        <f>IF(K9=0,0,AVERAGE(K9:M11))</f>
        <v>0</v>
      </c>
      <c r="L14" s="117" t="s">
        <v>621</v>
      </c>
      <c r="M14" s="116">
        <f>IF(K9=0,0,K14/(1+K14))</f>
        <v>0</v>
      </c>
      <c r="N14" s="114"/>
      <c r="O14" s="8"/>
      <c r="V14" s="106"/>
    </row>
    <row r="15" spans="1:22" ht="6.75" customHeight="1">
      <c r="A15" s="105"/>
      <c r="B15" s="118"/>
      <c r="C15" s="120"/>
      <c r="D15" s="120"/>
      <c r="E15" s="120"/>
      <c r="F15" s="121"/>
      <c r="G15" s="122"/>
      <c r="H15" s="8"/>
      <c r="I15" s="118"/>
      <c r="J15" s="120"/>
      <c r="K15" s="120"/>
      <c r="L15" s="120"/>
      <c r="M15" s="121"/>
      <c r="N15" s="122"/>
      <c r="O15" s="8"/>
      <c r="V15" s="106"/>
    </row>
    <row r="16" spans="1:22" ht="6.75" customHeight="1">
      <c r="A16" s="105"/>
      <c r="B16" s="8"/>
      <c r="C16" s="8"/>
      <c r="D16" s="8"/>
      <c r="E16" s="8"/>
      <c r="F16" s="123"/>
      <c r="G16" s="8"/>
      <c r="H16" s="8"/>
      <c r="I16" s="8"/>
      <c r="J16" s="8"/>
      <c r="K16" s="8"/>
      <c r="L16" s="8"/>
      <c r="M16" s="123"/>
      <c r="N16" s="8"/>
      <c r="O16" s="8"/>
      <c r="P16" s="8"/>
      <c r="Q16" s="8"/>
      <c r="R16" s="8"/>
      <c r="S16" s="8"/>
      <c r="T16" s="123"/>
      <c r="U16" s="8"/>
      <c r="V16" s="106"/>
    </row>
    <row r="17" spans="1:22" ht="6" customHeight="1">
      <c r="A17" s="105"/>
      <c r="B17" s="110"/>
      <c r="C17" s="111"/>
      <c r="D17" s="111"/>
      <c r="E17" s="111"/>
      <c r="F17" s="111"/>
      <c r="G17" s="112"/>
      <c r="H17" s="8"/>
      <c r="O17" s="8"/>
      <c r="V17" s="106"/>
    </row>
    <row r="18" spans="1:22" ht="12.75">
      <c r="A18" s="105"/>
      <c r="B18" s="113"/>
      <c r="C18" s="35" t="s">
        <v>614</v>
      </c>
      <c r="D18" s="310" t="s">
        <v>612</v>
      </c>
      <c r="E18" s="310"/>
      <c r="F18" s="310"/>
      <c r="G18" s="114"/>
      <c r="H18" s="8"/>
      <c r="O18" s="8"/>
      <c r="V18" s="106"/>
    </row>
    <row r="19" spans="1:22" ht="12.75">
      <c r="A19" s="105"/>
      <c r="B19" s="113"/>
      <c r="C19" s="35"/>
      <c r="D19" s="310" t="s">
        <v>615</v>
      </c>
      <c r="E19" s="310"/>
      <c r="F19" s="310"/>
      <c r="G19" s="114"/>
      <c r="H19" s="8"/>
      <c r="O19" s="8"/>
      <c r="V19" s="106"/>
    </row>
    <row r="20" spans="1:22" ht="15" customHeight="1">
      <c r="A20" s="105"/>
      <c r="B20" s="113"/>
      <c r="C20" s="8"/>
      <c r="D20" s="4">
        <v>1</v>
      </c>
      <c r="E20" s="4">
        <v>2</v>
      </c>
      <c r="F20" s="4">
        <v>3</v>
      </c>
      <c r="G20" s="114"/>
      <c r="H20" s="8"/>
      <c r="O20" s="8"/>
      <c r="V20" s="106"/>
    </row>
    <row r="21" spans="1:22" ht="20.25" customHeight="1">
      <c r="A21" s="105"/>
      <c r="B21" s="113"/>
      <c r="C21" s="8" t="s">
        <v>616</v>
      </c>
      <c r="D21" s="204"/>
      <c r="E21" s="204"/>
      <c r="F21" s="206"/>
      <c r="G21" s="114"/>
      <c r="H21" s="8"/>
      <c r="O21" s="8"/>
      <c r="V21" s="106"/>
    </row>
    <row r="22" spans="1:22" ht="20.25" customHeight="1">
      <c r="A22" s="105"/>
      <c r="B22" s="113"/>
      <c r="C22" s="8" t="s">
        <v>617</v>
      </c>
      <c r="D22" s="207"/>
      <c r="E22" s="207"/>
      <c r="F22" s="208"/>
      <c r="G22" s="114"/>
      <c r="H22" s="8"/>
      <c r="O22" s="8"/>
      <c r="V22" s="106"/>
    </row>
    <row r="23" spans="1:22" ht="20.25" customHeight="1">
      <c r="A23" s="105"/>
      <c r="B23" s="113"/>
      <c r="C23" s="8" t="s">
        <v>618</v>
      </c>
      <c r="D23" s="207"/>
      <c r="E23" s="207"/>
      <c r="F23" s="208"/>
      <c r="G23" s="114"/>
      <c r="H23" s="8"/>
      <c r="O23" s="8"/>
      <c r="V23" s="106"/>
    </row>
    <row r="24" spans="1:22" ht="6" customHeight="1">
      <c r="A24" s="105"/>
      <c r="B24" s="113"/>
      <c r="C24" s="8"/>
      <c r="D24" s="8"/>
      <c r="E24" s="8"/>
      <c r="F24" s="8"/>
      <c r="G24" s="114"/>
      <c r="H24" s="8"/>
      <c r="O24" s="8"/>
      <c r="V24" s="106"/>
    </row>
    <row r="25" spans="1:22" ht="18" customHeight="1">
      <c r="A25" s="105"/>
      <c r="B25" s="113"/>
      <c r="C25" s="8" t="s">
        <v>619</v>
      </c>
      <c r="D25" s="8"/>
      <c r="E25" s="8"/>
      <c r="F25" s="8"/>
      <c r="G25" s="114"/>
      <c r="H25" s="8"/>
      <c r="O25" s="8"/>
      <c r="V25" s="106"/>
    </row>
    <row r="26" spans="1:22" ht="18" customHeight="1">
      <c r="A26" s="105"/>
      <c r="B26" s="113"/>
      <c r="C26" s="115" t="s">
        <v>620</v>
      </c>
      <c r="D26" s="116">
        <f>IF(D21=0,0,AVERAGE(D21:F23))</f>
        <v>0</v>
      </c>
      <c r="E26" s="117" t="s">
        <v>621</v>
      </c>
      <c r="F26" s="116">
        <f>IF(D21=0,0,D26/(1+D26))</f>
        <v>0</v>
      </c>
      <c r="G26" s="114"/>
      <c r="H26" s="8"/>
      <c r="O26" s="8"/>
      <c r="V26" s="106"/>
    </row>
    <row r="27" spans="1:22" ht="6.75" customHeight="1">
      <c r="A27" s="105"/>
      <c r="B27" s="118"/>
      <c r="C27" s="120"/>
      <c r="D27" s="120"/>
      <c r="E27" s="120"/>
      <c r="F27" s="121"/>
      <c r="G27" s="122"/>
      <c r="H27" s="8"/>
      <c r="O27" s="8"/>
      <c r="V27" s="106"/>
    </row>
    <row r="28" spans="1:22" ht="6" customHeight="1">
      <c r="A28" s="105"/>
      <c r="B28" s="8"/>
      <c r="C28" s="8"/>
      <c r="D28" s="8"/>
      <c r="E28" s="8"/>
      <c r="F28" s="8"/>
      <c r="G28" s="8"/>
      <c r="H28" s="8"/>
      <c r="I28" s="8"/>
      <c r="J28" s="8"/>
      <c r="K28" s="8"/>
      <c r="L28" s="8"/>
      <c r="M28" s="8"/>
      <c r="N28" s="8"/>
      <c r="O28" s="8"/>
      <c r="P28" s="8"/>
      <c r="Q28" s="8"/>
      <c r="R28" s="8"/>
      <c r="S28" s="8"/>
      <c r="T28" s="8"/>
      <c r="U28" s="8"/>
      <c r="V28" s="106"/>
    </row>
    <row r="29" spans="1:22" ht="15" customHeight="1">
      <c r="A29" s="105"/>
      <c r="B29" s="8"/>
      <c r="C29" s="8"/>
      <c r="D29" s="8"/>
      <c r="E29" s="8"/>
      <c r="F29" s="8"/>
      <c r="G29" s="8"/>
      <c r="H29" s="8"/>
      <c r="I29" s="8"/>
      <c r="J29" s="8"/>
      <c r="K29" s="8"/>
      <c r="L29" s="8"/>
      <c r="M29" s="8"/>
      <c r="N29" s="8"/>
      <c r="O29" s="8"/>
      <c r="P29" s="8"/>
      <c r="Q29" s="8"/>
      <c r="R29" s="8"/>
      <c r="S29" s="8"/>
      <c r="T29" s="8"/>
      <c r="U29" s="8"/>
      <c r="V29" s="106"/>
    </row>
    <row r="30" spans="1:22" ht="6" customHeight="1">
      <c r="A30" s="105"/>
      <c r="B30" s="8"/>
      <c r="C30" s="8"/>
      <c r="D30" s="8"/>
      <c r="E30" s="8"/>
      <c r="F30" s="8"/>
      <c r="G30" s="8"/>
      <c r="H30" s="8"/>
      <c r="I30" s="8"/>
      <c r="J30" s="8"/>
      <c r="K30" s="8"/>
      <c r="L30" s="8"/>
      <c r="M30" s="8"/>
      <c r="N30" s="8"/>
      <c r="O30" s="8"/>
      <c r="P30" s="8"/>
      <c r="Q30" s="8"/>
      <c r="R30" s="8"/>
      <c r="S30" s="8"/>
      <c r="T30" s="8"/>
      <c r="U30" s="8"/>
      <c r="V30" s="106"/>
    </row>
    <row r="31" spans="1:22" ht="12.75" customHeight="1" thickBot="1">
      <c r="A31" s="107"/>
      <c r="B31" s="311" t="s">
        <v>622</v>
      </c>
      <c r="C31" s="311"/>
      <c r="D31" s="311"/>
      <c r="E31" s="311"/>
      <c r="F31" s="311"/>
      <c r="G31" s="311"/>
      <c r="H31" s="311"/>
      <c r="I31" s="311"/>
      <c r="J31" s="311"/>
      <c r="K31" s="311"/>
      <c r="L31" s="311"/>
      <c r="M31" s="311"/>
      <c r="N31" s="311"/>
      <c r="O31" s="311"/>
      <c r="P31" s="311"/>
      <c r="Q31" s="311"/>
      <c r="R31" s="311"/>
      <c r="S31" s="311"/>
      <c r="T31" s="311"/>
      <c r="U31" s="311"/>
      <c r="V31" s="312"/>
    </row>
    <row r="32" ht="18" customHeight="1" thickTop="1"/>
    <row r="33" ht="6.75" customHeight="1"/>
    <row r="34" ht="6.75" customHeight="1"/>
    <row r="35" ht="6" customHeight="1"/>
    <row r="37" ht="15" customHeight="1"/>
    <row r="38" ht="20.25" customHeight="1"/>
    <row r="39" ht="20.25" customHeight="1"/>
    <row r="40" ht="20.25" customHeight="1"/>
    <row r="41" ht="6" customHeight="1"/>
    <row r="42" ht="12.75" customHeight="1"/>
    <row r="43" ht="18" customHeight="1"/>
    <row r="44" ht="6.75" customHeight="1"/>
    <row r="45" ht="6" customHeight="1"/>
  </sheetData>
  <sheetProtection formatCells="0"/>
  <mergeCells count="9">
    <mergeCell ref="D19:F19"/>
    <mergeCell ref="B31:V31"/>
    <mergeCell ref="D6:F6"/>
    <mergeCell ref="K6:M6"/>
    <mergeCell ref="D18:F18"/>
    <mergeCell ref="B2:U2"/>
    <mergeCell ref="B3:U3"/>
    <mergeCell ref="D7:F7"/>
    <mergeCell ref="K7:M7"/>
  </mergeCells>
  <printOptions/>
  <pageMargins left="0.75" right="0.75" top="0.75" bottom="0.75" header="0.5" footer="0.5"/>
  <pageSetup horizontalDpi="1200" verticalDpi="1200" orientation="landscape" scale="97" r:id="rId4"/>
  <drawing r:id="rId3"/>
  <legacyDrawing r:id="rId2"/>
  <oleObjects>
    <oleObject progId="Equation.3" shapeId="3647257" r:id="rId1"/>
  </oleObjects>
</worksheet>
</file>

<file path=xl/worksheets/sheet6.xml><?xml version="1.0" encoding="utf-8"?>
<worksheet xmlns="http://schemas.openxmlformats.org/spreadsheetml/2006/main" xmlns:r="http://schemas.openxmlformats.org/officeDocument/2006/relationships">
  <sheetPr codeName="Sheet4"/>
  <dimension ref="A1:AL102"/>
  <sheetViews>
    <sheetView zoomScale="85" zoomScaleNormal="85" workbookViewId="0" topLeftCell="D1">
      <pane ySplit="1" topLeftCell="BM2" activePane="bottomLeft" state="frozen"/>
      <selection pane="topLeft" activeCell="A1" sqref="A1"/>
      <selection pane="bottomLeft" activeCell="K7" sqref="K7"/>
    </sheetView>
  </sheetViews>
  <sheetFormatPr defaultColWidth="9.140625" defaultRowHeight="12.75"/>
  <cols>
    <col min="1" max="1" width="0.5625" style="3" customWidth="1"/>
    <col min="2" max="2" width="16.140625" style="3" customWidth="1"/>
    <col min="3" max="3" width="0.9921875" style="3" customWidth="1"/>
    <col min="4" max="4" width="3.140625" style="3" bestFit="1" customWidth="1"/>
    <col min="5" max="5" width="93.140625" style="36" customWidth="1"/>
    <col min="6" max="6" width="25.421875" style="3" hidden="1" customWidth="1"/>
    <col min="7" max="7" width="31.7109375" style="3" hidden="1" customWidth="1"/>
    <col min="8" max="9" width="6.140625" style="3" hidden="1" customWidth="1"/>
    <col min="10" max="10" width="7.8515625" style="3" hidden="1" customWidth="1"/>
    <col min="11" max="11" width="9.140625" style="3" customWidth="1"/>
    <col min="12" max="12" width="2.140625" style="3" hidden="1" customWidth="1"/>
    <col min="13" max="13" width="7.00390625" style="3" bestFit="1" customWidth="1"/>
    <col min="14" max="14" width="2.421875" style="3" customWidth="1"/>
    <col min="15" max="15" width="23.140625" style="3" hidden="1" customWidth="1"/>
    <col min="16" max="16" width="12.28125" style="15" hidden="1" customWidth="1"/>
    <col min="17" max="17" width="14.140625" style="3" hidden="1" customWidth="1"/>
    <col min="18" max="18" width="12.8515625" style="3" hidden="1" customWidth="1"/>
    <col min="19" max="19" width="7.8515625" style="3" hidden="1" customWidth="1"/>
    <col min="20" max="20" width="7.57421875" style="3" hidden="1" customWidth="1"/>
    <col min="21" max="23" width="14.140625" style="3" hidden="1" customWidth="1"/>
    <col min="24" max="24" width="15.00390625" style="3" hidden="1" customWidth="1"/>
    <col min="25" max="31" width="0" style="3" hidden="1" customWidth="1"/>
    <col min="32" max="32" width="22.8515625" style="3" hidden="1" customWidth="1"/>
    <col min="33" max="33" width="8.00390625" style="3" hidden="1" customWidth="1"/>
    <col min="34" max="34" width="2.140625" style="3" hidden="1" customWidth="1"/>
    <col min="35" max="35" width="14.421875" style="3" bestFit="1" customWidth="1"/>
    <col min="36" max="36" width="23.00390625" style="3" bestFit="1" customWidth="1"/>
    <col min="37" max="37" width="23.00390625" style="3" customWidth="1"/>
    <col min="38" max="38" width="17.28125" style="3" bestFit="1" customWidth="1"/>
    <col min="39" max="16384" width="9.140625" style="3" customWidth="1"/>
  </cols>
  <sheetData>
    <row r="1" spans="2:38" ht="15">
      <c r="B1" s="5" t="s">
        <v>39</v>
      </c>
      <c r="C1" s="5"/>
      <c r="D1" s="5"/>
      <c r="E1" s="35" t="s">
        <v>40</v>
      </c>
      <c r="F1" s="5" t="s">
        <v>40</v>
      </c>
      <c r="G1" s="5" t="s">
        <v>76</v>
      </c>
      <c r="H1" s="314" t="s">
        <v>50</v>
      </c>
      <c r="I1" s="314"/>
      <c r="J1" s="314"/>
      <c r="K1" s="5" t="s">
        <v>17</v>
      </c>
      <c r="O1" s="5" t="s">
        <v>276</v>
      </c>
      <c r="P1" s="6" t="s">
        <v>269</v>
      </c>
      <c r="Q1" s="5" t="s">
        <v>270</v>
      </c>
      <c r="R1" s="5" t="s">
        <v>144</v>
      </c>
      <c r="S1" s="5" t="s">
        <v>145</v>
      </c>
      <c r="T1" s="5" t="s">
        <v>146</v>
      </c>
      <c r="U1" s="5" t="s">
        <v>147</v>
      </c>
      <c r="V1" s="5"/>
      <c r="W1" s="5"/>
      <c r="X1" s="5" t="s">
        <v>272</v>
      </c>
      <c r="Z1" s="3" t="s">
        <v>140</v>
      </c>
      <c r="AA1" s="9"/>
      <c r="AB1" s="9"/>
      <c r="AC1" s="9"/>
      <c r="AD1" s="9"/>
      <c r="AI1" s="3" t="s">
        <v>647</v>
      </c>
      <c r="AJ1" s="3" t="s">
        <v>648</v>
      </c>
      <c r="AL1" s="3" t="s">
        <v>649</v>
      </c>
    </row>
    <row r="2" spans="8:38" ht="14.25" customHeight="1">
      <c r="H2" s="3" t="s">
        <v>41</v>
      </c>
      <c r="I2" s="3" t="s">
        <v>42</v>
      </c>
      <c r="J2" s="3" t="s">
        <v>53</v>
      </c>
      <c r="M2" s="3" t="s">
        <v>15</v>
      </c>
      <c r="O2" s="5" t="s">
        <v>143</v>
      </c>
      <c r="P2" s="6" t="s">
        <v>267</v>
      </c>
      <c r="Q2" s="5" t="s">
        <v>150</v>
      </c>
      <c r="R2" s="5" t="s">
        <v>148</v>
      </c>
      <c r="S2" s="5" t="s">
        <v>149</v>
      </c>
      <c r="T2" s="5" t="s">
        <v>273</v>
      </c>
      <c r="U2" s="5" t="s">
        <v>271</v>
      </c>
      <c r="V2" s="5" t="s">
        <v>41</v>
      </c>
      <c r="W2" s="5" t="s">
        <v>274</v>
      </c>
      <c r="X2" s="5" t="s">
        <v>268</v>
      </c>
      <c r="Z2" s="1"/>
      <c r="AA2" s="315" t="s">
        <v>119</v>
      </c>
      <c r="AB2" s="315"/>
      <c r="AC2" s="315" t="s">
        <v>120</v>
      </c>
      <c r="AD2" s="315"/>
      <c r="AF2" s="10" t="s">
        <v>49</v>
      </c>
      <c r="AG2" s="11">
        <v>20370</v>
      </c>
      <c r="AH2" s="10">
        <v>1</v>
      </c>
      <c r="AI2" s="3" t="s">
        <v>638</v>
      </c>
      <c r="AJ2" s="3">
        <v>43.3</v>
      </c>
      <c r="AL2" s="3" t="s">
        <v>650</v>
      </c>
    </row>
    <row r="3" spans="1:38" ht="12.75">
      <c r="A3" s="3">
        <v>1</v>
      </c>
      <c r="B3" s="3" t="s">
        <v>603</v>
      </c>
      <c r="D3" s="3">
        <f aca="true" t="shared" si="0" ref="D3:D66">D2+1</f>
        <v>1</v>
      </c>
      <c r="E3" s="36" t="s">
        <v>603</v>
      </c>
      <c r="F3" s="3" t="s">
        <v>394</v>
      </c>
      <c r="K3" s="9"/>
      <c r="M3" s="12" t="s">
        <v>16</v>
      </c>
      <c r="O3" s="3" t="s">
        <v>151</v>
      </c>
      <c r="P3" s="13" t="s">
        <v>255</v>
      </c>
      <c r="Q3" s="14">
        <v>37845</v>
      </c>
      <c r="R3" s="3" t="s">
        <v>152</v>
      </c>
      <c r="S3" s="3" t="s">
        <v>153</v>
      </c>
      <c r="T3" s="3" t="s">
        <v>154</v>
      </c>
      <c r="U3" s="3" t="s">
        <v>155</v>
      </c>
      <c r="V3" s="3">
        <v>17.7</v>
      </c>
      <c r="W3" s="3">
        <v>20.3</v>
      </c>
      <c r="X3" s="9">
        <f>1000*AVERAGE(V3:W3)</f>
        <v>19000</v>
      </c>
      <c r="Z3" s="1"/>
      <c r="AA3" s="2" t="s">
        <v>106</v>
      </c>
      <c r="AB3" s="2" t="s">
        <v>107</v>
      </c>
      <c r="AC3" s="2" t="s">
        <v>106</v>
      </c>
      <c r="AD3" s="2" t="s">
        <v>107</v>
      </c>
      <c r="AF3" s="10" t="s">
        <v>43</v>
      </c>
      <c r="AG3" s="11">
        <v>15687</v>
      </c>
      <c r="AH3" s="10">
        <v>1</v>
      </c>
      <c r="AJ3" s="3">
        <v>43.6</v>
      </c>
      <c r="AL3" s="3" t="s">
        <v>651</v>
      </c>
    </row>
    <row r="4" spans="1:38" ht="12.75">
      <c r="A4" s="3">
        <f>A3+1</f>
        <v>2</v>
      </c>
      <c r="B4" s="3" t="s">
        <v>604</v>
      </c>
      <c r="D4" s="3">
        <f t="shared" si="0"/>
        <v>2</v>
      </c>
      <c r="E4" s="229" t="s">
        <v>639</v>
      </c>
      <c r="K4" s="9">
        <f>ROUND(AVERAGE(AJ5:AJ8)*1000,-2)</f>
        <v>48000</v>
      </c>
      <c r="L4" s="9"/>
      <c r="O4" s="3" t="s">
        <v>156</v>
      </c>
      <c r="P4" s="15">
        <v>17</v>
      </c>
      <c r="Q4" s="3">
        <v>8</v>
      </c>
      <c r="R4" s="3" t="s">
        <v>152</v>
      </c>
      <c r="T4" s="3" t="s">
        <v>154</v>
      </c>
      <c r="U4" s="3" t="s">
        <v>157</v>
      </c>
      <c r="V4" s="3">
        <v>18.7</v>
      </c>
      <c r="X4" s="9">
        <f aca="true" t="shared" si="1" ref="X4:X55">1000*AVERAGE(V4:W4)</f>
        <v>18700</v>
      </c>
      <c r="Z4" s="3" t="s">
        <v>108</v>
      </c>
      <c r="AA4" s="9">
        <v>8950</v>
      </c>
      <c r="AB4" s="9">
        <v>8150</v>
      </c>
      <c r="AC4" s="9">
        <f aca="true" t="shared" si="2" ref="AC4:AD16">AA4*1.055*2.2</f>
        <v>20772.95</v>
      </c>
      <c r="AD4" s="9">
        <f t="shared" si="2"/>
        <v>18916.15</v>
      </c>
      <c r="AF4" s="10" t="s">
        <v>78</v>
      </c>
      <c r="AG4" s="11">
        <v>19530</v>
      </c>
      <c r="AH4" s="10">
        <v>1</v>
      </c>
      <c r="AJ4" s="3">
        <v>43.1</v>
      </c>
      <c r="AL4" s="3" t="s">
        <v>652</v>
      </c>
    </row>
    <row r="5" spans="1:38" ht="12.75">
      <c r="A5" s="3">
        <f>A4+1</f>
        <v>3</v>
      </c>
      <c r="B5" s="3" t="s">
        <v>605</v>
      </c>
      <c r="D5" s="3">
        <f t="shared" si="0"/>
        <v>3</v>
      </c>
      <c r="E5" s="229" t="s">
        <v>638</v>
      </c>
      <c r="K5" s="9">
        <f>ROUND(AVERAGE(AJ2:AJ4)*1000,-2)</f>
        <v>43300</v>
      </c>
      <c r="L5" s="9"/>
      <c r="O5" s="3" t="s">
        <v>158</v>
      </c>
      <c r="P5" s="15" t="s">
        <v>157</v>
      </c>
      <c r="Q5" s="3" t="s">
        <v>157</v>
      </c>
      <c r="R5" s="3" t="s">
        <v>152</v>
      </c>
      <c r="T5" s="3" t="s">
        <v>154</v>
      </c>
      <c r="U5" s="3">
        <v>840</v>
      </c>
      <c r="V5" s="3">
        <v>19.2</v>
      </c>
      <c r="X5" s="9">
        <f t="shared" si="1"/>
        <v>19200</v>
      </c>
      <c r="Z5" s="3" t="s">
        <v>109</v>
      </c>
      <c r="AA5" s="9"/>
      <c r="AB5" s="9">
        <v>8150</v>
      </c>
      <c r="AC5" s="9">
        <f t="shared" si="2"/>
        <v>0</v>
      </c>
      <c r="AD5" s="9">
        <f t="shared" si="2"/>
        <v>18916.15</v>
      </c>
      <c r="AF5" s="3" t="s">
        <v>61</v>
      </c>
      <c r="AG5" s="9">
        <v>20475</v>
      </c>
      <c r="AH5" s="3">
        <v>1</v>
      </c>
      <c r="AI5" s="3" t="s">
        <v>639</v>
      </c>
      <c r="AJ5" s="3">
        <v>49</v>
      </c>
      <c r="AL5" s="3" t="s">
        <v>650</v>
      </c>
    </row>
    <row r="6" spans="2:38" ht="12.75">
      <c r="B6" s="3" t="s">
        <v>606</v>
      </c>
      <c r="D6" s="3">
        <f t="shared" si="0"/>
        <v>4</v>
      </c>
      <c r="E6" s="229" t="s">
        <v>640</v>
      </c>
      <c r="K6" s="9">
        <f>ROUND(AVERAGE(AJ15:AJ21)*1000+(0.05*(75*4.2/1000+2.26)/0.95),-2)</f>
        <v>29400</v>
      </c>
      <c r="L6" s="9"/>
      <c r="X6" s="9"/>
      <c r="AA6" s="9"/>
      <c r="AB6" s="9"/>
      <c r="AC6" s="9"/>
      <c r="AD6" s="9"/>
      <c r="AG6" s="9"/>
      <c r="AJ6" s="3">
        <v>47.1</v>
      </c>
      <c r="AL6" s="3" t="s">
        <v>651</v>
      </c>
    </row>
    <row r="7" spans="2:38" ht="12.75">
      <c r="B7" s="3" t="s">
        <v>607</v>
      </c>
      <c r="D7" s="3">
        <f t="shared" si="0"/>
        <v>5</v>
      </c>
      <c r="E7" s="229" t="s">
        <v>660</v>
      </c>
      <c r="K7" s="9">
        <f>ROUND(AVERAGE(AJ31:AJ36)*1000+(0.05*(75*4.2/1000+2.26)/0.95),-2)</f>
        <v>24700</v>
      </c>
      <c r="L7" s="9"/>
      <c r="X7" s="9"/>
      <c r="AA7" s="9"/>
      <c r="AB7" s="9"/>
      <c r="AC7" s="9"/>
      <c r="AD7" s="9"/>
      <c r="AG7" s="9"/>
      <c r="AJ7" s="3">
        <v>45.8</v>
      </c>
      <c r="AL7" s="3" t="s">
        <v>652</v>
      </c>
    </row>
    <row r="8" spans="2:38" ht="12.75">
      <c r="B8" s="3" t="s">
        <v>608</v>
      </c>
      <c r="D8" s="3">
        <f t="shared" si="0"/>
        <v>6</v>
      </c>
      <c r="E8" s="229" t="s">
        <v>636</v>
      </c>
      <c r="K8" s="9">
        <f>ROUND(AVERAGE(AJ22:AJ27)*1000+(0.07*(75*4.2/1000+2.26)/0.93),-2)</f>
        <v>14700</v>
      </c>
      <c r="L8" s="9"/>
      <c r="X8" s="9"/>
      <c r="AA8" s="9"/>
      <c r="AB8" s="9"/>
      <c r="AC8" s="9"/>
      <c r="AD8" s="9"/>
      <c r="AG8" s="9"/>
      <c r="AJ8" s="3">
        <v>50.1</v>
      </c>
      <c r="AL8" s="3" t="s">
        <v>687</v>
      </c>
    </row>
    <row r="9" spans="4:38" ht="12.75">
      <c r="D9" s="3">
        <f t="shared" si="0"/>
        <v>7</v>
      </c>
      <c r="E9" s="229" t="s">
        <v>637</v>
      </c>
      <c r="K9" s="9">
        <f>ROUND(AVERAGE(AJ28:AJ29)*1000+(0.06*(75*4.2/1000+2.26)/0.94),-2)</f>
        <v>13600</v>
      </c>
      <c r="L9" s="9"/>
      <c r="X9" s="9"/>
      <c r="AA9" s="9"/>
      <c r="AB9" s="9"/>
      <c r="AC9" s="9"/>
      <c r="AD9" s="9"/>
      <c r="AG9" s="9"/>
      <c r="AI9" s="3" t="s">
        <v>654</v>
      </c>
      <c r="AJ9" s="3">
        <v>51.3</v>
      </c>
      <c r="AL9" s="3" t="s">
        <v>650</v>
      </c>
    </row>
    <row r="10" spans="4:33" ht="12.75">
      <c r="D10" s="3">
        <f t="shared" si="0"/>
        <v>8</v>
      </c>
      <c r="E10" s="36" t="s">
        <v>141</v>
      </c>
      <c r="F10" s="3" t="s">
        <v>141</v>
      </c>
      <c r="K10" s="9">
        <v>19734</v>
      </c>
      <c r="M10" s="3">
        <v>3</v>
      </c>
      <c r="X10" s="9"/>
      <c r="AA10" s="9"/>
      <c r="AB10" s="9"/>
      <c r="AC10" s="9"/>
      <c r="AD10" s="9"/>
      <c r="AG10" s="9"/>
    </row>
    <row r="11" spans="4:38" ht="12.75">
      <c r="D11" s="3">
        <f t="shared" si="0"/>
        <v>9</v>
      </c>
      <c r="E11" s="36" t="s">
        <v>396</v>
      </c>
      <c r="F11" s="3" t="s">
        <v>142</v>
      </c>
      <c r="K11" s="9">
        <v>20817</v>
      </c>
      <c r="L11" s="9"/>
      <c r="M11" s="3">
        <v>3</v>
      </c>
      <c r="X11" s="9"/>
      <c r="AA11" s="9"/>
      <c r="AB11" s="9"/>
      <c r="AC11" s="9"/>
      <c r="AD11" s="9"/>
      <c r="AG11" s="9"/>
      <c r="AI11" s="3" t="s">
        <v>653</v>
      </c>
      <c r="AJ11" s="3">
        <v>17.7</v>
      </c>
      <c r="AL11" s="3" t="s">
        <v>652</v>
      </c>
    </row>
    <row r="12" spans="1:34" ht="12.75">
      <c r="A12" s="3">
        <f>A5+1</f>
        <v>4</v>
      </c>
      <c r="D12" s="3">
        <f t="shared" si="0"/>
        <v>10</v>
      </c>
      <c r="E12" s="36" t="s">
        <v>397</v>
      </c>
      <c r="F12" s="3" t="s">
        <v>277</v>
      </c>
      <c r="G12" s="3" t="s">
        <v>108</v>
      </c>
      <c r="K12" s="9">
        <f>VLOOKUP(G12,'Calorific values'!Z4:AD26,5)</f>
        <v>18916.15</v>
      </c>
      <c r="L12" s="9"/>
      <c r="M12" s="3">
        <v>2</v>
      </c>
      <c r="O12" s="3" t="s">
        <v>159</v>
      </c>
      <c r="P12" s="15">
        <v>19</v>
      </c>
      <c r="Q12" s="3">
        <v>20</v>
      </c>
      <c r="R12" s="3" t="s">
        <v>152</v>
      </c>
      <c r="T12" s="3" t="s">
        <v>154</v>
      </c>
      <c r="U12" s="3" t="s">
        <v>157</v>
      </c>
      <c r="V12" s="3">
        <v>21.8</v>
      </c>
      <c r="X12" s="9">
        <f t="shared" si="1"/>
        <v>21800</v>
      </c>
      <c r="Z12" s="3" t="s">
        <v>110</v>
      </c>
      <c r="AA12" s="9">
        <v>9000</v>
      </c>
      <c r="AB12" s="9">
        <v>8800</v>
      </c>
      <c r="AC12" s="9">
        <f t="shared" si="2"/>
        <v>20889</v>
      </c>
      <c r="AD12" s="9">
        <f t="shared" si="2"/>
        <v>20424.800000000003</v>
      </c>
      <c r="AF12" s="3" t="s">
        <v>62</v>
      </c>
      <c r="AG12" s="9">
        <v>18480</v>
      </c>
      <c r="AH12" s="3">
        <v>1</v>
      </c>
    </row>
    <row r="13" spans="1:35" ht="12.75">
      <c r="A13" s="3">
        <f>A12+1</f>
        <v>5</v>
      </c>
      <c r="D13" s="3">
        <f t="shared" si="0"/>
        <v>11</v>
      </c>
      <c r="E13" s="36" t="s">
        <v>398</v>
      </c>
      <c r="F13" s="3" t="s">
        <v>278</v>
      </c>
      <c r="G13" s="3" t="s">
        <v>275</v>
      </c>
      <c r="H13" s="3">
        <v>4800</v>
      </c>
      <c r="I13" s="3">
        <v>4900</v>
      </c>
      <c r="J13" s="17">
        <f>AVERAGE(H13,I13)</f>
        <v>4850</v>
      </c>
      <c r="K13" s="9">
        <f>J13*4.2</f>
        <v>20370</v>
      </c>
      <c r="L13" s="9"/>
      <c r="M13" s="3">
        <v>1</v>
      </c>
      <c r="O13" s="3" t="s">
        <v>160</v>
      </c>
      <c r="P13" s="13" t="s">
        <v>256</v>
      </c>
      <c r="Q13" s="14">
        <v>37812</v>
      </c>
      <c r="R13" s="3" t="s">
        <v>152</v>
      </c>
      <c r="S13" s="3" t="s">
        <v>153</v>
      </c>
      <c r="T13" s="3" t="s">
        <v>154</v>
      </c>
      <c r="U13" s="3" t="s">
        <v>161</v>
      </c>
      <c r="V13" s="3">
        <v>16.7</v>
      </c>
      <c r="W13" s="3">
        <v>19.3</v>
      </c>
      <c r="X13" s="9">
        <f t="shared" si="1"/>
        <v>18000</v>
      </c>
      <c r="Z13" s="3" t="s">
        <v>111</v>
      </c>
      <c r="AA13" s="9">
        <v>7250</v>
      </c>
      <c r="AB13" s="9"/>
      <c r="AC13" s="9">
        <f t="shared" si="2"/>
        <v>16827.25</v>
      </c>
      <c r="AD13" s="9">
        <f t="shared" si="2"/>
        <v>0</v>
      </c>
      <c r="AF13" s="10" t="s">
        <v>51</v>
      </c>
      <c r="AG13" s="11">
        <v>13066.2</v>
      </c>
      <c r="AH13" s="10">
        <v>1</v>
      </c>
      <c r="AI13" s="16"/>
    </row>
    <row r="14" spans="1:38" ht="12.75">
      <c r="A14" s="3">
        <f>A13+1</f>
        <v>6</v>
      </c>
      <c r="D14" s="3">
        <f t="shared" si="0"/>
        <v>12</v>
      </c>
      <c r="E14" s="36" t="s">
        <v>399</v>
      </c>
      <c r="F14" s="3" t="s">
        <v>279</v>
      </c>
      <c r="G14" s="3" t="s">
        <v>100</v>
      </c>
      <c r="J14" s="17"/>
      <c r="K14" s="9">
        <v>18700</v>
      </c>
      <c r="L14" s="9"/>
      <c r="M14" s="3">
        <v>4</v>
      </c>
      <c r="O14" s="3" t="s">
        <v>162</v>
      </c>
      <c r="P14" s="15" t="s">
        <v>163</v>
      </c>
      <c r="Q14" s="14">
        <v>37756</v>
      </c>
      <c r="R14" s="3" t="s">
        <v>152</v>
      </c>
      <c r="S14" s="3" t="s">
        <v>153</v>
      </c>
      <c r="T14" s="3" t="s">
        <v>164</v>
      </c>
      <c r="U14" s="3">
        <v>330</v>
      </c>
      <c r="V14" s="3">
        <v>18.1</v>
      </c>
      <c r="X14" s="9">
        <f t="shared" si="1"/>
        <v>18100</v>
      </c>
      <c r="Z14" s="3" t="s">
        <v>38</v>
      </c>
      <c r="AA14" s="9">
        <v>9790</v>
      </c>
      <c r="AB14" s="9">
        <v>8890</v>
      </c>
      <c r="AC14" s="9">
        <f t="shared" si="2"/>
        <v>22722.59</v>
      </c>
      <c r="AD14" s="9">
        <f t="shared" si="2"/>
        <v>20633.69</v>
      </c>
      <c r="AF14" s="3" t="s">
        <v>63</v>
      </c>
      <c r="AG14" s="9">
        <v>21840</v>
      </c>
      <c r="AH14" s="3">
        <v>1</v>
      </c>
      <c r="AI14" s="16" t="s">
        <v>647</v>
      </c>
      <c r="AJ14" s="3" t="s">
        <v>648</v>
      </c>
      <c r="AL14" s="3" t="s">
        <v>649</v>
      </c>
    </row>
    <row r="15" spans="4:38" ht="12.75">
      <c r="D15" s="3">
        <f t="shared" si="0"/>
        <v>13</v>
      </c>
      <c r="E15" s="36" t="s">
        <v>400</v>
      </c>
      <c r="F15" s="3" t="s">
        <v>322</v>
      </c>
      <c r="G15" s="3" t="s">
        <v>350</v>
      </c>
      <c r="K15" s="9">
        <v>19200</v>
      </c>
      <c r="M15" s="3">
        <v>4</v>
      </c>
      <c r="O15" s="3" t="s">
        <v>165</v>
      </c>
      <c r="P15" s="15">
        <v>5</v>
      </c>
      <c r="Q15" s="14">
        <v>37909</v>
      </c>
      <c r="R15" s="3" t="s">
        <v>152</v>
      </c>
      <c r="S15" s="3" t="s">
        <v>153</v>
      </c>
      <c r="T15" s="3" t="s">
        <v>166</v>
      </c>
      <c r="U15" s="3" t="s">
        <v>167</v>
      </c>
      <c r="V15" s="3">
        <v>21.8</v>
      </c>
      <c r="X15" s="9">
        <f t="shared" si="1"/>
        <v>21800</v>
      </c>
      <c r="Z15" s="3" t="s">
        <v>112</v>
      </c>
      <c r="AA15" s="9">
        <v>8870</v>
      </c>
      <c r="AB15" s="9">
        <v>8410</v>
      </c>
      <c r="AC15" s="9">
        <f t="shared" si="2"/>
        <v>20587.269999999997</v>
      </c>
      <c r="AD15" s="9">
        <f t="shared" si="2"/>
        <v>19519.61</v>
      </c>
      <c r="AF15" s="3" t="s">
        <v>45</v>
      </c>
      <c r="AG15" s="9">
        <v>19320</v>
      </c>
      <c r="AH15" s="3">
        <v>1</v>
      </c>
      <c r="AI15" s="16" t="s">
        <v>640</v>
      </c>
      <c r="AJ15" s="3">
        <v>25.7</v>
      </c>
      <c r="AK15" s="3" t="s">
        <v>666</v>
      </c>
      <c r="AL15" s="3" t="s">
        <v>652</v>
      </c>
    </row>
    <row r="16" spans="4:38" ht="12.75">
      <c r="D16" s="3">
        <f t="shared" si="0"/>
        <v>14</v>
      </c>
      <c r="E16" s="36" t="s">
        <v>401</v>
      </c>
      <c r="F16" s="3" t="s">
        <v>351</v>
      </c>
      <c r="G16" s="3" t="s">
        <v>352</v>
      </c>
      <c r="K16" s="9">
        <v>21800</v>
      </c>
      <c r="M16" s="3">
        <v>4</v>
      </c>
      <c r="O16" s="3" t="s">
        <v>168</v>
      </c>
      <c r="P16" s="15" t="s">
        <v>157</v>
      </c>
      <c r="Q16" s="3" t="s">
        <v>157</v>
      </c>
      <c r="R16" s="3" t="s">
        <v>152</v>
      </c>
      <c r="S16" s="3" t="s">
        <v>153</v>
      </c>
      <c r="T16" s="3" t="s">
        <v>166</v>
      </c>
      <c r="U16" s="3">
        <v>660</v>
      </c>
      <c r="V16" s="3">
        <v>19.7</v>
      </c>
      <c r="X16" s="9">
        <f t="shared" si="1"/>
        <v>19700</v>
      </c>
      <c r="Z16" s="3" t="s">
        <v>113</v>
      </c>
      <c r="AA16" s="9"/>
      <c r="AB16" s="9">
        <v>8170</v>
      </c>
      <c r="AC16" s="9">
        <f t="shared" si="2"/>
        <v>0</v>
      </c>
      <c r="AD16" s="9">
        <f t="shared" si="2"/>
        <v>18962.570000000003</v>
      </c>
      <c r="AF16" s="3" t="s">
        <v>64</v>
      </c>
      <c r="AG16" s="9">
        <v>20580</v>
      </c>
      <c r="AH16" s="3">
        <v>1</v>
      </c>
      <c r="AI16" s="16"/>
      <c r="AJ16" s="3">
        <v>27.6</v>
      </c>
      <c r="AK16" s="3" t="s">
        <v>667</v>
      </c>
      <c r="AL16" s="3" t="s">
        <v>655</v>
      </c>
    </row>
    <row r="17" spans="4:38" ht="12.75">
      <c r="D17" s="3">
        <f t="shared" si="0"/>
        <v>15</v>
      </c>
      <c r="E17" s="36" t="s">
        <v>402</v>
      </c>
      <c r="F17" s="3" t="s">
        <v>280</v>
      </c>
      <c r="G17" s="3" t="s">
        <v>79</v>
      </c>
      <c r="H17" s="3">
        <v>4650</v>
      </c>
      <c r="J17" s="17">
        <f>AVERAGE(H17,I17)</f>
        <v>4650</v>
      </c>
      <c r="K17" s="9">
        <f>J17*4.2</f>
        <v>19530</v>
      </c>
      <c r="L17" s="9"/>
      <c r="M17" s="3">
        <v>1</v>
      </c>
      <c r="O17" s="3" t="s">
        <v>169</v>
      </c>
      <c r="P17" s="13" t="s">
        <v>255</v>
      </c>
      <c r="Q17" s="3" t="s">
        <v>170</v>
      </c>
      <c r="R17" s="3" t="s">
        <v>152</v>
      </c>
      <c r="S17" s="3" t="s">
        <v>153</v>
      </c>
      <c r="T17" s="3" t="s">
        <v>171</v>
      </c>
      <c r="U17" s="3" t="s">
        <v>172</v>
      </c>
      <c r="V17" s="3">
        <v>16</v>
      </c>
      <c r="W17" s="3">
        <v>18.3</v>
      </c>
      <c r="X17" s="9">
        <f t="shared" si="1"/>
        <v>17150</v>
      </c>
      <c r="Z17" s="3" t="s">
        <v>115</v>
      </c>
      <c r="AA17" s="9"/>
      <c r="AB17" s="9">
        <v>9110</v>
      </c>
      <c r="AC17" s="9"/>
      <c r="AD17" s="9">
        <f aca="true" t="shared" si="3" ref="AD17:AD26">AB17*1.055*2.2</f>
        <v>21144.31</v>
      </c>
      <c r="AF17" s="3" t="s">
        <v>65</v>
      </c>
      <c r="AG17" s="9">
        <v>19320</v>
      </c>
      <c r="AH17" s="3">
        <v>1</v>
      </c>
      <c r="AI17" s="16"/>
      <c r="AJ17" s="3">
        <v>29.2</v>
      </c>
      <c r="AK17" s="3" t="s">
        <v>667</v>
      </c>
      <c r="AL17" s="3" t="s">
        <v>655</v>
      </c>
    </row>
    <row r="18" spans="4:38" ht="12.75">
      <c r="D18" s="3">
        <f t="shared" si="0"/>
        <v>16</v>
      </c>
      <c r="E18" s="36" t="s">
        <v>403</v>
      </c>
      <c r="F18" s="3" t="s">
        <v>281</v>
      </c>
      <c r="G18" s="3" t="s">
        <v>89</v>
      </c>
      <c r="H18" s="3">
        <v>4800</v>
      </c>
      <c r="I18" s="3">
        <v>4950</v>
      </c>
      <c r="J18" s="17">
        <f>AVERAGE(H18,I18)</f>
        <v>4875</v>
      </c>
      <c r="K18" s="9">
        <f>J18*4.2</f>
        <v>20475</v>
      </c>
      <c r="M18" s="3">
        <v>1</v>
      </c>
      <c r="O18" s="3" t="s">
        <v>173</v>
      </c>
      <c r="P18" s="15" t="s">
        <v>157</v>
      </c>
      <c r="Q18" s="3" t="s">
        <v>157</v>
      </c>
      <c r="R18" s="3" t="s">
        <v>174</v>
      </c>
      <c r="S18" s="3" t="s">
        <v>175</v>
      </c>
      <c r="T18" s="3" t="s">
        <v>176</v>
      </c>
      <c r="U18" s="3">
        <v>560</v>
      </c>
      <c r="V18" s="3">
        <v>19.2</v>
      </c>
      <c r="X18" s="9">
        <f t="shared" si="1"/>
        <v>19200</v>
      </c>
      <c r="Z18" s="3" t="s">
        <v>114</v>
      </c>
      <c r="AA18" s="9"/>
      <c r="AB18" s="9">
        <v>8050</v>
      </c>
      <c r="AC18" s="9">
        <f aca="true" t="shared" si="4" ref="AC18:AC26">AA18*1.055*2.2</f>
        <v>0</v>
      </c>
      <c r="AD18" s="9">
        <f t="shared" si="3"/>
        <v>18684.050000000003</v>
      </c>
      <c r="AF18" s="10" t="s">
        <v>73</v>
      </c>
      <c r="AG18" s="11">
        <v>19425</v>
      </c>
      <c r="AH18" s="10">
        <v>1</v>
      </c>
      <c r="AI18" s="16"/>
      <c r="AJ18" s="3">
        <v>30</v>
      </c>
      <c r="AK18" s="3" t="s">
        <v>667</v>
      </c>
      <c r="AL18" s="3" t="s">
        <v>655</v>
      </c>
    </row>
    <row r="19" spans="4:38" ht="12.75">
      <c r="D19" s="3">
        <f t="shared" si="0"/>
        <v>17</v>
      </c>
      <c r="E19" s="36" t="s">
        <v>404</v>
      </c>
      <c r="F19" s="3" t="s">
        <v>282</v>
      </c>
      <c r="G19" s="3" t="s">
        <v>90</v>
      </c>
      <c r="H19" s="3">
        <v>4400</v>
      </c>
      <c r="J19" s="17">
        <f>AVERAGE(H19,I19)</f>
        <v>4400</v>
      </c>
      <c r="K19" s="9">
        <f>J19*4.2</f>
        <v>18480</v>
      </c>
      <c r="L19" s="9"/>
      <c r="M19" s="3">
        <v>1</v>
      </c>
      <c r="O19" s="3" t="s">
        <v>177</v>
      </c>
      <c r="P19" s="15">
        <v>15</v>
      </c>
      <c r="Q19" s="3">
        <v>9</v>
      </c>
      <c r="R19" s="3" t="s">
        <v>174</v>
      </c>
      <c r="S19" s="3" t="s">
        <v>175</v>
      </c>
      <c r="T19" s="3" t="s">
        <v>176</v>
      </c>
      <c r="U19" s="3">
        <v>330</v>
      </c>
      <c r="V19" s="3">
        <v>18.9</v>
      </c>
      <c r="W19" s="3">
        <v>19.8</v>
      </c>
      <c r="X19" s="9">
        <f t="shared" si="1"/>
        <v>19350</v>
      </c>
      <c r="Z19" s="3" t="s">
        <v>86</v>
      </c>
      <c r="AA19" s="9">
        <v>8410</v>
      </c>
      <c r="AB19" s="9">
        <v>7990</v>
      </c>
      <c r="AC19" s="9">
        <f t="shared" si="4"/>
        <v>19519.61</v>
      </c>
      <c r="AD19" s="9">
        <f t="shared" si="3"/>
        <v>18544.79</v>
      </c>
      <c r="AF19" s="10" t="s">
        <v>52</v>
      </c>
      <c r="AG19" s="11">
        <v>20790</v>
      </c>
      <c r="AH19" s="10">
        <v>1</v>
      </c>
      <c r="AI19" s="16"/>
      <c r="AJ19" s="3">
        <v>30.7</v>
      </c>
      <c r="AK19" s="3" t="s">
        <v>667</v>
      </c>
      <c r="AL19" s="3" t="s">
        <v>655</v>
      </c>
    </row>
    <row r="20" spans="4:38" ht="12.75">
      <c r="D20" s="3">
        <f t="shared" si="0"/>
        <v>18</v>
      </c>
      <c r="E20" s="36" t="s">
        <v>405</v>
      </c>
      <c r="F20" s="3" t="s">
        <v>283</v>
      </c>
      <c r="G20" s="3" t="s">
        <v>116</v>
      </c>
      <c r="K20" s="9">
        <f>VLOOKUP(G20,'Calorific values'!Z$4:AD$26,5)</f>
        <v>18544.79</v>
      </c>
      <c r="L20" s="9" t="s">
        <v>92</v>
      </c>
      <c r="M20" s="3">
        <v>2</v>
      </c>
      <c r="O20" s="3" t="s">
        <v>178</v>
      </c>
      <c r="P20" s="15" t="s">
        <v>157</v>
      </c>
      <c r="Q20" s="3" t="s">
        <v>157</v>
      </c>
      <c r="U20" s="3">
        <v>600</v>
      </c>
      <c r="V20" s="3">
        <v>19.1</v>
      </c>
      <c r="X20" s="9">
        <f t="shared" si="1"/>
        <v>19100</v>
      </c>
      <c r="Z20" s="3" t="s">
        <v>116</v>
      </c>
      <c r="AA20" s="9"/>
      <c r="AB20" s="9">
        <v>7990</v>
      </c>
      <c r="AC20" s="9">
        <f t="shared" si="4"/>
        <v>0</v>
      </c>
      <c r="AD20" s="9">
        <f t="shared" si="3"/>
        <v>18544.79</v>
      </c>
      <c r="AF20" s="10" t="s">
        <v>66</v>
      </c>
      <c r="AG20" s="11">
        <v>21210</v>
      </c>
      <c r="AH20" s="10">
        <v>1</v>
      </c>
      <c r="AI20" s="16"/>
      <c r="AJ20" s="3">
        <v>31.1</v>
      </c>
      <c r="AK20" s="3" t="s">
        <v>667</v>
      </c>
      <c r="AL20" s="3" t="s">
        <v>655</v>
      </c>
    </row>
    <row r="21" spans="4:38" ht="12.75">
      <c r="D21" s="3">
        <f t="shared" si="0"/>
        <v>19</v>
      </c>
      <c r="E21" s="36" t="s">
        <v>406</v>
      </c>
      <c r="F21" s="3" t="s">
        <v>284</v>
      </c>
      <c r="G21" s="3" t="s">
        <v>98</v>
      </c>
      <c r="J21" s="17"/>
      <c r="K21" s="9">
        <v>18100</v>
      </c>
      <c r="L21" s="9"/>
      <c r="M21" s="3">
        <v>4</v>
      </c>
      <c r="O21" s="3" t="s">
        <v>179</v>
      </c>
      <c r="P21" s="15" t="s">
        <v>157</v>
      </c>
      <c r="Q21" s="3" t="s">
        <v>157</v>
      </c>
      <c r="R21" s="3" t="s">
        <v>174</v>
      </c>
      <c r="S21" s="3" t="s">
        <v>157</v>
      </c>
      <c r="T21" s="3" t="s">
        <v>154</v>
      </c>
      <c r="U21" s="3" t="s">
        <v>180</v>
      </c>
      <c r="V21" s="3">
        <v>18.5</v>
      </c>
      <c r="X21" s="9">
        <f t="shared" si="1"/>
        <v>18500</v>
      </c>
      <c r="Z21" s="3" t="s">
        <v>117</v>
      </c>
      <c r="AA21" s="9"/>
      <c r="AB21" s="9">
        <v>8050</v>
      </c>
      <c r="AC21" s="9">
        <f t="shared" si="4"/>
        <v>0</v>
      </c>
      <c r="AD21" s="9">
        <f t="shared" si="3"/>
        <v>18684.050000000003</v>
      </c>
      <c r="AF21" s="10" t="s">
        <v>54</v>
      </c>
      <c r="AG21" s="11">
        <v>19320</v>
      </c>
      <c r="AH21" s="10">
        <v>1</v>
      </c>
      <c r="AI21" s="16"/>
      <c r="AJ21" s="3">
        <v>31.5</v>
      </c>
      <c r="AK21" s="3" t="s">
        <v>667</v>
      </c>
      <c r="AL21" s="3" t="s">
        <v>655</v>
      </c>
    </row>
    <row r="22" spans="4:38" ht="12.75">
      <c r="D22" s="3">
        <f t="shared" si="0"/>
        <v>20</v>
      </c>
      <c r="E22" s="36" t="s">
        <v>407</v>
      </c>
      <c r="F22" s="3" t="s">
        <v>285</v>
      </c>
      <c r="G22" s="3" t="s">
        <v>91</v>
      </c>
      <c r="H22" s="3">
        <v>5200</v>
      </c>
      <c r="J22" s="17">
        <f>AVERAGE(H22,I22)</f>
        <v>5200</v>
      </c>
      <c r="K22" s="9">
        <f>J22*4.2</f>
        <v>21840</v>
      </c>
      <c r="M22" s="3">
        <v>1</v>
      </c>
      <c r="O22" s="3" t="s">
        <v>181</v>
      </c>
      <c r="P22" s="13" t="s">
        <v>257</v>
      </c>
      <c r="Q22" s="3">
        <v>30</v>
      </c>
      <c r="R22" s="3" t="s">
        <v>174</v>
      </c>
      <c r="S22" s="3" t="s">
        <v>157</v>
      </c>
      <c r="T22" s="3" t="s">
        <v>166</v>
      </c>
      <c r="U22" s="3" t="s">
        <v>182</v>
      </c>
      <c r="V22" s="3">
        <v>20.4</v>
      </c>
      <c r="X22" s="9">
        <f t="shared" si="1"/>
        <v>20400</v>
      </c>
      <c r="Z22" s="3" t="s">
        <v>118</v>
      </c>
      <c r="AA22" s="9"/>
      <c r="AB22" s="9">
        <v>8600</v>
      </c>
      <c r="AC22" s="9">
        <f t="shared" si="4"/>
        <v>0</v>
      </c>
      <c r="AD22" s="9">
        <f t="shared" si="3"/>
        <v>19960.600000000002</v>
      </c>
      <c r="AF22" s="3" t="s">
        <v>67</v>
      </c>
      <c r="AG22" s="9">
        <v>21840</v>
      </c>
      <c r="AH22" s="3">
        <v>1</v>
      </c>
      <c r="AI22" s="16" t="s">
        <v>656</v>
      </c>
      <c r="AJ22" s="3">
        <v>16.1</v>
      </c>
      <c r="AK22" s="3" t="s">
        <v>668</v>
      </c>
      <c r="AL22" s="3" t="s">
        <v>650</v>
      </c>
    </row>
    <row r="23" spans="4:38" ht="12.75">
      <c r="D23" s="3">
        <f t="shared" si="0"/>
        <v>21</v>
      </c>
      <c r="E23" s="36" t="s">
        <v>408</v>
      </c>
      <c r="F23" s="3" t="s">
        <v>323</v>
      </c>
      <c r="G23" s="3" t="s">
        <v>353</v>
      </c>
      <c r="K23" s="9">
        <v>19700</v>
      </c>
      <c r="M23" s="3">
        <v>4</v>
      </c>
      <c r="O23" s="3" t="s">
        <v>183</v>
      </c>
      <c r="P23" s="13" t="s">
        <v>258</v>
      </c>
      <c r="Q23" s="3">
        <v>30</v>
      </c>
      <c r="R23" s="3" t="s">
        <v>174</v>
      </c>
      <c r="S23" s="3" t="s">
        <v>157</v>
      </c>
      <c r="T23" s="3" t="s">
        <v>154</v>
      </c>
      <c r="U23" s="3" t="s">
        <v>182</v>
      </c>
      <c r="V23" s="3">
        <v>18.7</v>
      </c>
      <c r="X23" s="9">
        <f t="shared" si="1"/>
        <v>18700</v>
      </c>
      <c r="Z23" s="3" t="s">
        <v>121</v>
      </c>
      <c r="AA23" s="9"/>
      <c r="AB23" s="9">
        <v>7990</v>
      </c>
      <c r="AC23" s="9">
        <f t="shared" si="4"/>
        <v>0</v>
      </c>
      <c r="AD23" s="9">
        <f t="shared" si="3"/>
        <v>18544.79</v>
      </c>
      <c r="AF23" s="10" t="s">
        <v>68</v>
      </c>
      <c r="AG23" s="11">
        <v>20160</v>
      </c>
      <c r="AH23" s="10">
        <v>1</v>
      </c>
      <c r="AI23" s="16"/>
      <c r="AJ23" s="3">
        <v>15.4</v>
      </c>
      <c r="AK23" s="3" t="s">
        <v>669</v>
      </c>
      <c r="AL23" s="3" t="s">
        <v>657</v>
      </c>
    </row>
    <row r="24" spans="4:38" ht="12.75">
      <c r="D24" s="3">
        <f t="shared" si="0"/>
        <v>22</v>
      </c>
      <c r="E24" s="36" t="s">
        <v>409</v>
      </c>
      <c r="F24" s="3" t="s">
        <v>324</v>
      </c>
      <c r="G24" s="3" t="s">
        <v>354</v>
      </c>
      <c r="K24" s="9">
        <v>17150</v>
      </c>
      <c r="M24" s="3">
        <v>4</v>
      </c>
      <c r="O24" s="3" t="s">
        <v>184</v>
      </c>
      <c r="P24" s="13" t="s">
        <v>257</v>
      </c>
      <c r="Q24" s="3">
        <v>30</v>
      </c>
      <c r="R24" s="3" t="s">
        <v>174</v>
      </c>
      <c r="S24" s="3" t="s">
        <v>157</v>
      </c>
      <c r="T24" s="3" t="s">
        <v>154</v>
      </c>
      <c r="U24" s="3">
        <v>810</v>
      </c>
      <c r="V24" s="3">
        <v>19.4</v>
      </c>
      <c r="X24" s="9">
        <f t="shared" si="1"/>
        <v>19400</v>
      </c>
      <c r="Z24" s="3" t="s">
        <v>122</v>
      </c>
      <c r="AA24" s="9">
        <v>9400</v>
      </c>
      <c r="AB24" s="9">
        <v>8410</v>
      </c>
      <c r="AC24" s="9">
        <f t="shared" si="4"/>
        <v>21817.4</v>
      </c>
      <c r="AD24" s="9">
        <f t="shared" si="3"/>
        <v>19519.61</v>
      </c>
      <c r="AF24" s="10" t="s">
        <v>46</v>
      </c>
      <c r="AG24" s="11">
        <v>20160</v>
      </c>
      <c r="AH24" s="10">
        <v>1</v>
      </c>
      <c r="AI24" s="16" t="s">
        <v>658</v>
      </c>
      <c r="AJ24" s="3">
        <v>14</v>
      </c>
      <c r="AK24" s="3" t="s">
        <v>670</v>
      </c>
      <c r="AL24" s="3" t="s">
        <v>650</v>
      </c>
    </row>
    <row r="25" spans="4:38" ht="15">
      <c r="D25" s="3">
        <f t="shared" si="0"/>
        <v>23</v>
      </c>
      <c r="E25" s="36" t="s">
        <v>410</v>
      </c>
      <c r="F25" s="3" t="s">
        <v>286</v>
      </c>
      <c r="G25" s="3" t="s">
        <v>86</v>
      </c>
      <c r="H25" s="3">
        <v>4600</v>
      </c>
      <c r="J25" s="17">
        <f>AVERAGE(H25,I25)</f>
        <v>4600</v>
      </c>
      <c r="K25" s="9">
        <f>J25*4.2</f>
        <v>19320</v>
      </c>
      <c r="L25" s="9"/>
      <c r="M25" s="3">
        <v>1</v>
      </c>
      <c r="O25" s="3" t="s">
        <v>185</v>
      </c>
      <c r="P25" s="15" t="s">
        <v>259</v>
      </c>
      <c r="Q25" s="3">
        <v>1</v>
      </c>
      <c r="R25" s="3" t="s">
        <v>152</v>
      </c>
      <c r="S25" s="3" t="s">
        <v>153</v>
      </c>
      <c r="T25" s="3" t="s">
        <v>186</v>
      </c>
      <c r="U25" s="3" t="s">
        <v>187</v>
      </c>
      <c r="V25" s="3">
        <v>18.9</v>
      </c>
      <c r="W25" s="3">
        <v>19.9</v>
      </c>
      <c r="X25" s="9">
        <f t="shared" si="1"/>
        <v>19400</v>
      </c>
      <c r="Z25" s="3" t="s">
        <v>123</v>
      </c>
      <c r="AA25" s="9">
        <v>8790</v>
      </c>
      <c r="AB25" s="9">
        <v>9700</v>
      </c>
      <c r="AC25" s="9">
        <f t="shared" si="4"/>
        <v>20401.59</v>
      </c>
      <c r="AD25" s="9">
        <f t="shared" si="3"/>
        <v>22513.7</v>
      </c>
      <c r="AF25" s="3" t="s">
        <v>55</v>
      </c>
      <c r="AG25" s="9">
        <v>20580</v>
      </c>
      <c r="AH25" s="3">
        <v>1</v>
      </c>
      <c r="AJ25" s="3">
        <v>15.4</v>
      </c>
      <c r="AK25" s="3" t="s">
        <v>669</v>
      </c>
      <c r="AL25" s="3" t="s">
        <v>657</v>
      </c>
    </row>
    <row r="26" spans="4:38" ht="12.75">
      <c r="D26" s="3">
        <f t="shared" si="0"/>
        <v>24</v>
      </c>
      <c r="E26" s="36" t="s">
        <v>410</v>
      </c>
      <c r="F26" s="3" t="s">
        <v>286</v>
      </c>
      <c r="G26" s="3" t="s">
        <v>86</v>
      </c>
      <c r="K26" s="9">
        <f>VLOOKUP(G26,'Calorific values'!Z$4:AD$26,5)</f>
        <v>18544.79</v>
      </c>
      <c r="L26" s="9"/>
      <c r="M26" s="3">
        <v>2</v>
      </c>
      <c r="O26" s="3" t="s">
        <v>188</v>
      </c>
      <c r="P26" s="15" t="s">
        <v>157</v>
      </c>
      <c r="Q26" s="3" t="s">
        <v>157</v>
      </c>
      <c r="R26" s="3" t="s">
        <v>152</v>
      </c>
      <c r="S26" s="3" t="s">
        <v>175</v>
      </c>
      <c r="T26" s="3" t="s">
        <v>166</v>
      </c>
      <c r="U26" s="3">
        <v>520</v>
      </c>
      <c r="V26" s="3">
        <v>18.4</v>
      </c>
      <c r="X26" s="9">
        <f t="shared" si="1"/>
        <v>18400</v>
      </c>
      <c r="Z26" s="3" t="s">
        <v>124</v>
      </c>
      <c r="AA26" s="9">
        <v>7070</v>
      </c>
      <c r="AB26" s="9">
        <v>8150</v>
      </c>
      <c r="AC26" s="9">
        <f t="shared" si="4"/>
        <v>16409.47</v>
      </c>
      <c r="AD26" s="9">
        <f t="shared" si="3"/>
        <v>18916.15</v>
      </c>
      <c r="AF26" s="3" t="s">
        <v>56</v>
      </c>
      <c r="AG26" s="9">
        <v>20160</v>
      </c>
      <c r="AH26" s="3">
        <v>1</v>
      </c>
      <c r="AI26" s="3" t="s">
        <v>659</v>
      </c>
      <c r="AJ26" s="3">
        <v>13</v>
      </c>
      <c r="AK26" s="3" t="s">
        <v>671</v>
      </c>
      <c r="AL26" s="3" t="s">
        <v>652</v>
      </c>
    </row>
    <row r="27" spans="4:38" ht="12.75">
      <c r="D27" s="3">
        <f t="shared" si="0"/>
        <v>25</v>
      </c>
      <c r="E27" s="36" t="s">
        <v>411</v>
      </c>
      <c r="F27" s="3" t="s">
        <v>325</v>
      </c>
      <c r="G27" s="3" t="s">
        <v>355</v>
      </c>
      <c r="K27" s="9">
        <v>19200</v>
      </c>
      <c r="M27" s="3">
        <v>4</v>
      </c>
      <c r="O27" s="3" t="s">
        <v>189</v>
      </c>
      <c r="P27" s="13" t="s">
        <v>260</v>
      </c>
      <c r="Q27" s="14">
        <v>37751</v>
      </c>
      <c r="R27" s="3" t="s">
        <v>152</v>
      </c>
      <c r="S27" s="3" t="s">
        <v>175</v>
      </c>
      <c r="T27" s="3" t="s">
        <v>186</v>
      </c>
      <c r="U27" s="3" t="s">
        <v>155</v>
      </c>
      <c r="V27" s="3">
        <v>18.8</v>
      </c>
      <c r="X27" s="9">
        <f t="shared" si="1"/>
        <v>18800</v>
      </c>
      <c r="AF27" s="10" t="s">
        <v>57</v>
      </c>
      <c r="AG27" s="11">
        <v>18480</v>
      </c>
      <c r="AH27" s="10">
        <v>1</v>
      </c>
      <c r="AJ27" s="3">
        <v>14.2</v>
      </c>
      <c r="AK27" s="3" t="s">
        <v>669</v>
      </c>
      <c r="AL27" s="3" t="s">
        <v>657</v>
      </c>
    </row>
    <row r="28" spans="4:38" ht="12.75">
      <c r="D28" s="3">
        <f t="shared" si="0"/>
        <v>26</v>
      </c>
      <c r="E28" s="36" t="s">
        <v>412</v>
      </c>
      <c r="F28" s="3" t="s">
        <v>287</v>
      </c>
      <c r="G28" s="3" t="s">
        <v>93</v>
      </c>
      <c r="H28" s="3">
        <v>4900</v>
      </c>
      <c r="J28" s="17">
        <f>AVERAGE(H28,I28)</f>
        <v>4900</v>
      </c>
      <c r="K28" s="9">
        <f>J28*4.2</f>
        <v>20580</v>
      </c>
      <c r="L28" s="9"/>
      <c r="M28" s="3">
        <v>1</v>
      </c>
      <c r="O28" s="3" t="s">
        <v>190</v>
      </c>
      <c r="P28" s="13" t="s">
        <v>261</v>
      </c>
      <c r="Q28" s="14">
        <v>37812</v>
      </c>
      <c r="R28" s="3" t="s">
        <v>174</v>
      </c>
      <c r="S28" s="3" t="s">
        <v>153</v>
      </c>
      <c r="T28" s="3" t="s">
        <v>166</v>
      </c>
      <c r="U28" s="3" t="s">
        <v>191</v>
      </c>
      <c r="V28" s="3">
        <v>19</v>
      </c>
      <c r="W28" s="3">
        <v>21.1</v>
      </c>
      <c r="X28" s="9">
        <f t="shared" si="1"/>
        <v>20050</v>
      </c>
      <c r="AF28" s="3" t="s">
        <v>47</v>
      </c>
      <c r="AG28" s="9">
        <v>21459.9</v>
      </c>
      <c r="AH28" s="3">
        <v>1</v>
      </c>
      <c r="AI28" s="3" t="s">
        <v>637</v>
      </c>
      <c r="AJ28" s="3">
        <v>11.8</v>
      </c>
      <c r="AK28" s="3" t="s">
        <v>672</v>
      </c>
      <c r="AL28" s="3" t="s">
        <v>652</v>
      </c>
    </row>
    <row r="29" spans="4:38" ht="12.75">
      <c r="D29" s="3">
        <f t="shared" si="0"/>
        <v>27</v>
      </c>
      <c r="E29" s="36" t="s">
        <v>381</v>
      </c>
      <c r="F29" s="3" t="s">
        <v>326</v>
      </c>
      <c r="G29" s="3" t="s">
        <v>356</v>
      </c>
      <c r="K29" s="9">
        <v>19350</v>
      </c>
      <c r="M29" s="3">
        <v>4</v>
      </c>
      <c r="O29" s="3" t="s">
        <v>192</v>
      </c>
      <c r="P29" s="15" t="s">
        <v>157</v>
      </c>
      <c r="Q29" s="3" t="s">
        <v>157</v>
      </c>
      <c r="R29" s="3" t="s">
        <v>174</v>
      </c>
      <c r="T29" s="3" t="s">
        <v>154</v>
      </c>
      <c r="U29" s="3">
        <v>810</v>
      </c>
      <c r="V29" s="3">
        <v>19.6</v>
      </c>
      <c r="X29" s="9">
        <f t="shared" si="1"/>
        <v>19600</v>
      </c>
      <c r="AF29" s="3" t="s">
        <v>69</v>
      </c>
      <c r="AG29" s="9">
        <v>22680</v>
      </c>
      <c r="AH29" s="3">
        <v>1</v>
      </c>
      <c r="AJ29" s="3">
        <v>15.4</v>
      </c>
      <c r="AK29" s="3" t="s">
        <v>669</v>
      </c>
      <c r="AL29" s="3" t="s">
        <v>657</v>
      </c>
    </row>
    <row r="30" spans="4:35" ht="12.75">
      <c r="D30" s="3">
        <f t="shared" si="0"/>
        <v>28</v>
      </c>
      <c r="E30" s="36" t="s">
        <v>327</v>
      </c>
      <c r="F30" s="3" t="s">
        <v>327</v>
      </c>
      <c r="K30" s="9">
        <v>19100</v>
      </c>
      <c r="M30" s="3">
        <v>4</v>
      </c>
      <c r="O30" s="3" t="s">
        <v>193</v>
      </c>
      <c r="R30" s="3" t="s">
        <v>174</v>
      </c>
      <c r="S30" s="3" t="s">
        <v>175</v>
      </c>
      <c r="T30" s="3" t="s">
        <v>166</v>
      </c>
      <c r="V30" s="3">
        <v>19</v>
      </c>
      <c r="X30" s="9">
        <f t="shared" si="1"/>
        <v>19000</v>
      </c>
      <c r="AF30" s="3" t="s">
        <v>70</v>
      </c>
      <c r="AG30" s="9">
        <v>21056.7</v>
      </c>
      <c r="AH30" s="3">
        <v>1</v>
      </c>
      <c r="AI30" s="3" t="s">
        <v>660</v>
      </c>
    </row>
    <row r="31" spans="4:38" ht="12.75">
      <c r="D31" s="3">
        <f t="shared" si="0"/>
        <v>29</v>
      </c>
      <c r="E31" s="36" t="s">
        <v>413</v>
      </c>
      <c r="F31" s="3" t="s">
        <v>328</v>
      </c>
      <c r="G31" s="3" t="s">
        <v>358</v>
      </c>
      <c r="K31" s="9">
        <v>18500</v>
      </c>
      <c r="M31" s="3">
        <v>4</v>
      </c>
      <c r="O31" s="3" t="s">
        <v>194</v>
      </c>
      <c r="P31" s="15" t="s">
        <v>157</v>
      </c>
      <c r="Q31" s="3" t="s">
        <v>157</v>
      </c>
      <c r="R31" s="3" t="s">
        <v>174</v>
      </c>
      <c r="T31" s="3" t="s">
        <v>195</v>
      </c>
      <c r="U31" s="3">
        <v>660</v>
      </c>
      <c r="V31" s="3">
        <v>18.4</v>
      </c>
      <c r="X31" s="9">
        <f t="shared" si="1"/>
        <v>18400</v>
      </c>
      <c r="AF31" s="3" t="s">
        <v>71</v>
      </c>
      <c r="AG31" s="9">
        <v>21000</v>
      </c>
      <c r="AH31" s="3">
        <v>1</v>
      </c>
      <c r="AI31" s="230" t="s">
        <v>661</v>
      </c>
      <c r="AJ31" s="3">
        <v>22.5</v>
      </c>
      <c r="AL31" s="3" t="s">
        <v>651</v>
      </c>
    </row>
    <row r="32" spans="4:38" ht="12.75">
      <c r="D32" s="3">
        <f t="shared" si="0"/>
        <v>30</v>
      </c>
      <c r="E32" s="36" t="s">
        <v>414</v>
      </c>
      <c r="F32" s="3" t="s">
        <v>288</v>
      </c>
      <c r="G32" s="3" t="s">
        <v>103</v>
      </c>
      <c r="H32" s="3">
        <v>4600</v>
      </c>
      <c r="J32" s="17">
        <f>AVERAGE(H32,I32)</f>
        <v>4600</v>
      </c>
      <c r="K32" s="9">
        <f>J32*4.2</f>
        <v>19320</v>
      </c>
      <c r="M32" s="3">
        <v>1</v>
      </c>
      <c r="O32" s="3" t="s">
        <v>196</v>
      </c>
      <c r="P32" s="15">
        <v>15</v>
      </c>
      <c r="Q32" s="3">
        <v>20</v>
      </c>
      <c r="R32" s="3" t="s">
        <v>152</v>
      </c>
      <c r="S32" s="3" t="s">
        <v>153</v>
      </c>
      <c r="T32" s="3" t="s">
        <v>195</v>
      </c>
      <c r="U32" s="3" t="s">
        <v>157</v>
      </c>
      <c r="V32" s="3">
        <v>19.8</v>
      </c>
      <c r="X32" s="9">
        <f t="shared" si="1"/>
        <v>19800</v>
      </c>
      <c r="AF32" s="3" t="s">
        <v>80</v>
      </c>
      <c r="AG32" s="9">
        <v>20126.4</v>
      </c>
      <c r="AH32" s="3">
        <v>1</v>
      </c>
      <c r="AI32" s="230" t="s">
        <v>661</v>
      </c>
      <c r="AJ32" s="3">
        <v>27.3</v>
      </c>
      <c r="AK32" s="3" t="s">
        <v>673</v>
      </c>
      <c r="AL32" s="3" t="s">
        <v>650</v>
      </c>
    </row>
    <row r="33" spans="4:38" ht="12.75">
      <c r="D33" s="3">
        <f t="shared" si="0"/>
        <v>31</v>
      </c>
      <c r="E33" s="36" t="s">
        <v>415</v>
      </c>
      <c r="F33" s="3" t="s">
        <v>329</v>
      </c>
      <c r="G33" s="3" t="s">
        <v>357</v>
      </c>
      <c r="K33" s="9">
        <v>20400</v>
      </c>
      <c r="M33" s="3">
        <v>4</v>
      </c>
      <c r="O33" s="3" t="s">
        <v>197</v>
      </c>
      <c r="P33" s="15" t="s">
        <v>157</v>
      </c>
      <c r="Q33" s="3" t="s">
        <v>157</v>
      </c>
      <c r="R33" s="3" t="s">
        <v>152</v>
      </c>
      <c r="S33" s="3" t="s">
        <v>153</v>
      </c>
      <c r="T33" s="3" t="s">
        <v>195</v>
      </c>
      <c r="U33" s="3">
        <v>680</v>
      </c>
      <c r="V33" s="3">
        <v>19</v>
      </c>
      <c r="W33" s="3">
        <v>21</v>
      </c>
      <c r="X33" s="9">
        <f t="shared" si="1"/>
        <v>20000</v>
      </c>
      <c r="AF33" s="10" t="s">
        <v>58</v>
      </c>
      <c r="AG33" s="11">
        <v>17430</v>
      </c>
      <c r="AH33" s="10">
        <v>1</v>
      </c>
      <c r="AI33" s="230" t="s">
        <v>662</v>
      </c>
      <c r="AJ33" s="3">
        <v>30.1</v>
      </c>
      <c r="AK33" s="3" t="s">
        <v>674</v>
      </c>
      <c r="AL33" s="3" t="s">
        <v>650</v>
      </c>
    </row>
    <row r="34" spans="4:38" ht="12.75">
      <c r="D34" s="3">
        <f t="shared" si="0"/>
        <v>32</v>
      </c>
      <c r="E34" s="36" t="s">
        <v>416</v>
      </c>
      <c r="F34" s="3" t="s">
        <v>330</v>
      </c>
      <c r="G34" s="3" t="s">
        <v>359</v>
      </c>
      <c r="K34" s="9">
        <v>18700</v>
      </c>
      <c r="M34" s="3">
        <v>4</v>
      </c>
      <c r="O34" s="3" t="s">
        <v>198</v>
      </c>
      <c r="P34" s="13" t="s">
        <v>260</v>
      </c>
      <c r="Q34" s="14">
        <v>37716</v>
      </c>
      <c r="R34" s="3" t="s">
        <v>152</v>
      </c>
      <c r="S34" s="3" t="s">
        <v>175</v>
      </c>
      <c r="T34" s="3" t="s">
        <v>166</v>
      </c>
      <c r="U34" s="3" t="s">
        <v>157</v>
      </c>
      <c r="V34" s="3">
        <v>19.3</v>
      </c>
      <c r="X34" s="9">
        <f t="shared" si="1"/>
        <v>19300</v>
      </c>
      <c r="AF34" s="3" t="s">
        <v>48</v>
      </c>
      <c r="AG34" s="9">
        <v>17663.1</v>
      </c>
      <c r="AH34" s="3">
        <v>1</v>
      </c>
      <c r="AI34" s="230" t="s">
        <v>663</v>
      </c>
      <c r="AJ34" s="3">
        <v>26.2</v>
      </c>
      <c r="AL34" s="3" t="s">
        <v>651</v>
      </c>
    </row>
    <row r="35" spans="4:38" ht="12.75">
      <c r="D35" s="3">
        <f t="shared" si="0"/>
        <v>33</v>
      </c>
      <c r="E35" s="36" t="s">
        <v>417</v>
      </c>
      <c r="F35" s="3" t="s">
        <v>331</v>
      </c>
      <c r="G35" s="3" t="s">
        <v>360</v>
      </c>
      <c r="K35" s="9">
        <v>19400</v>
      </c>
      <c r="M35" s="3">
        <v>4</v>
      </c>
      <c r="O35" s="3" t="s">
        <v>199</v>
      </c>
      <c r="P35" s="15" t="s">
        <v>157</v>
      </c>
      <c r="Q35" s="3" t="s">
        <v>157</v>
      </c>
      <c r="R35" s="3" t="s">
        <v>174</v>
      </c>
      <c r="S35" s="3" t="s">
        <v>175</v>
      </c>
      <c r="T35" s="3" t="s">
        <v>195</v>
      </c>
      <c r="U35" s="3">
        <v>750</v>
      </c>
      <c r="V35" s="3">
        <v>18.6</v>
      </c>
      <c r="X35" s="9">
        <f t="shared" si="1"/>
        <v>18600</v>
      </c>
      <c r="AF35" s="10" t="s">
        <v>59</v>
      </c>
      <c r="AG35" s="11">
        <v>20160</v>
      </c>
      <c r="AH35" s="10">
        <v>1</v>
      </c>
      <c r="AI35" s="230" t="s">
        <v>664</v>
      </c>
      <c r="AJ35" s="3">
        <v>18.4</v>
      </c>
      <c r="AL35" s="3" t="s">
        <v>651</v>
      </c>
    </row>
    <row r="36" spans="4:38" ht="12.75">
      <c r="D36" s="3">
        <f t="shared" si="0"/>
        <v>34</v>
      </c>
      <c r="E36" s="36" t="s">
        <v>418</v>
      </c>
      <c r="F36" s="3" t="s">
        <v>289</v>
      </c>
      <c r="G36" s="3" t="s">
        <v>74</v>
      </c>
      <c r="H36" s="3">
        <v>4500</v>
      </c>
      <c r="I36" s="3">
        <v>4750</v>
      </c>
      <c r="J36" s="17">
        <f>AVERAGE(H36,I36)</f>
        <v>4625</v>
      </c>
      <c r="K36" s="9">
        <f>J36*4.2</f>
        <v>19425</v>
      </c>
      <c r="L36" s="9"/>
      <c r="M36" s="3">
        <v>1</v>
      </c>
      <c r="O36" s="3" t="s">
        <v>200</v>
      </c>
      <c r="P36" s="15" t="s">
        <v>157</v>
      </c>
      <c r="Q36" s="3" t="s">
        <v>157</v>
      </c>
      <c r="R36" s="3" t="s">
        <v>174</v>
      </c>
      <c r="S36" s="3" t="s">
        <v>175</v>
      </c>
      <c r="T36" s="3" t="s">
        <v>195</v>
      </c>
      <c r="U36" s="3">
        <v>580</v>
      </c>
      <c r="V36" s="3">
        <v>18.1</v>
      </c>
      <c r="X36" s="9">
        <f t="shared" si="1"/>
        <v>18100</v>
      </c>
      <c r="AF36" s="3" t="s">
        <v>60</v>
      </c>
      <c r="AG36" s="9">
        <v>18900</v>
      </c>
      <c r="AH36" s="3">
        <v>1</v>
      </c>
      <c r="AI36" s="230" t="s">
        <v>665</v>
      </c>
      <c r="AJ36" s="3">
        <v>23.5</v>
      </c>
      <c r="AL36" s="3" t="s">
        <v>651</v>
      </c>
    </row>
    <row r="37" spans="4:34" ht="12.75">
      <c r="D37" s="3">
        <f t="shared" si="0"/>
        <v>35</v>
      </c>
      <c r="E37" s="36" t="s">
        <v>419</v>
      </c>
      <c r="F37" s="3" t="s">
        <v>290</v>
      </c>
      <c r="G37" s="3" t="s">
        <v>114</v>
      </c>
      <c r="K37" s="9">
        <f>VLOOKUP(G37,'Calorific values'!Z$4:AD$26,5)</f>
        <v>18684.050000000003</v>
      </c>
      <c r="L37" s="9"/>
      <c r="M37" s="3">
        <v>2</v>
      </c>
      <c r="O37" s="3" t="s">
        <v>201</v>
      </c>
      <c r="P37" s="15" t="s">
        <v>202</v>
      </c>
      <c r="Q37" s="3" t="s">
        <v>203</v>
      </c>
      <c r="R37" s="3" t="s">
        <v>152</v>
      </c>
      <c r="S37" s="3" t="s">
        <v>153</v>
      </c>
      <c r="T37" s="3" t="s">
        <v>166</v>
      </c>
      <c r="U37" s="3">
        <v>430</v>
      </c>
      <c r="V37" s="3">
        <v>19</v>
      </c>
      <c r="W37" s="3">
        <v>21</v>
      </c>
      <c r="X37" s="9">
        <f t="shared" si="1"/>
        <v>20000</v>
      </c>
      <c r="AF37" s="3" t="s">
        <v>72</v>
      </c>
      <c r="AG37" s="9">
        <v>20580</v>
      </c>
      <c r="AH37" s="3">
        <v>1</v>
      </c>
    </row>
    <row r="38" spans="4:34" ht="12.75">
      <c r="D38" s="3">
        <f t="shared" si="0"/>
        <v>36</v>
      </c>
      <c r="E38" s="36" t="s">
        <v>420</v>
      </c>
      <c r="F38" s="3" t="s">
        <v>332</v>
      </c>
      <c r="G38" s="3" t="s">
        <v>361</v>
      </c>
      <c r="K38" s="9">
        <v>18400</v>
      </c>
      <c r="M38" s="3">
        <v>4</v>
      </c>
      <c r="O38" s="3" t="s">
        <v>204</v>
      </c>
      <c r="P38" s="15" t="s">
        <v>157</v>
      </c>
      <c r="Q38" s="3" t="s">
        <v>157</v>
      </c>
      <c r="R38" s="3" t="s">
        <v>152</v>
      </c>
      <c r="S38" s="3" t="s">
        <v>153</v>
      </c>
      <c r="T38" s="3" t="s">
        <v>164</v>
      </c>
      <c r="U38" s="3">
        <v>430</v>
      </c>
      <c r="V38" s="3">
        <v>18.7</v>
      </c>
      <c r="X38" s="9">
        <f t="shared" si="1"/>
        <v>18700</v>
      </c>
      <c r="AF38" s="3" t="s">
        <v>125</v>
      </c>
      <c r="AG38" s="9">
        <v>18916.15</v>
      </c>
      <c r="AH38" s="3">
        <v>2</v>
      </c>
    </row>
    <row r="39" spans="4:34" ht="12.75">
      <c r="D39" s="3">
        <f t="shared" si="0"/>
        <v>37</v>
      </c>
      <c r="E39" s="36" t="s">
        <v>421</v>
      </c>
      <c r="F39" s="3" t="s">
        <v>333</v>
      </c>
      <c r="G39" s="3" t="s">
        <v>362</v>
      </c>
      <c r="K39" s="9">
        <v>18800</v>
      </c>
      <c r="M39" s="3">
        <v>4</v>
      </c>
      <c r="O39" s="3" t="s">
        <v>205</v>
      </c>
      <c r="P39" s="13" t="s">
        <v>262</v>
      </c>
      <c r="Q39" s="14">
        <v>37756</v>
      </c>
      <c r="R39" s="3" t="s">
        <v>152</v>
      </c>
      <c r="S39" s="3" t="s">
        <v>153</v>
      </c>
      <c r="T39" s="3" t="s">
        <v>166</v>
      </c>
      <c r="U39" s="3" t="s">
        <v>206</v>
      </c>
      <c r="V39" s="3">
        <v>20.1</v>
      </c>
      <c r="W39" s="3">
        <v>21</v>
      </c>
      <c r="X39" s="9">
        <f t="shared" si="1"/>
        <v>20550</v>
      </c>
      <c r="AF39" s="3" t="s">
        <v>133</v>
      </c>
      <c r="AG39" s="9">
        <v>18544.79</v>
      </c>
      <c r="AH39" s="3">
        <v>2</v>
      </c>
    </row>
    <row r="40" spans="4:34" ht="12.75">
      <c r="D40" s="3">
        <f t="shared" si="0"/>
        <v>38</v>
      </c>
      <c r="E40" s="36" t="s">
        <v>422</v>
      </c>
      <c r="F40" s="3" t="s">
        <v>291</v>
      </c>
      <c r="G40" s="3" t="s">
        <v>75</v>
      </c>
      <c r="H40" s="3">
        <v>4950</v>
      </c>
      <c r="J40" s="17">
        <f>AVERAGE(H40,I40)</f>
        <v>4950</v>
      </c>
      <c r="K40" s="9">
        <f>J40*4.2</f>
        <v>20790</v>
      </c>
      <c r="L40" s="9"/>
      <c r="M40" s="3">
        <v>1</v>
      </c>
      <c r="O40" s="3" t="s">
        <v>207</v>
      </c>
      <c r="P40" s="12" t="s">
        <v>208</v>
      </c>
      <c r="Q40" s="14">
        <v>37782</v>
      </c>
      <c r="R40" s="3" t="s">
        <v>152</v>
      </c>
      <c r="S40" s="3" t="s">
        <v>153</v>
      </c>
      <c r="T40" s="3" t="s">
        <v>166</v>
      </c>
      <c r="U40" s="3" t="s">
        <v>209</v>
      </c>
      <c r="V40" s="3">
        <v>19</v>
      </c>
      <c r="W40" s="3">
        <v>20.5</v>
      </c>
      <c r="X40" s="9">
        <f t="shared" si="1"/>
        <v>19750</v>
      </c>
      <c r="AF40" s="3" t="s">
        <v>45</v>
      </c>
      <c r="AG40" s="9">
        <v>18544.79</v>
      </c>
      <c r="AH40" s="3">
        <v>2</v>
      </c>
    </row>
    <row r="41" spans="4:34" ht="12.75">
      <c r="D41" s="3">
        <f t="shared" si="0"/>
        <v>39</v>
      </c>
      <c r="E41" s="36" t="s">
        <v>423</v>
      </c>
      <c r="F41" s="3" t="s">
        <v>364</v>
      </c>
      <c r="G41" s="3" t="s">
        <v>363</v>
      </c>
      <c r="K41" s="9">
        <v>19600</v>
      </c>
      <c r="M41" s="3">
        <v>4</v>
      </c>
      <c r="O41" s="3" t="s">
        <v>298</v>
      </c>
      <c r="P41" s="13" t="s">
        <v>263</v>
      </c>
      <c r="Q41" s="3">
        <v>8</v>
      </c>
      <c r="R41" s="3" t="s">
        <v>152</v>
      </c>
      <c r="S41" s="3" t="s">
        <v>153</v>
      </c>
      <c r="T41" s="3" t="s">
        <v>212</v>
      </c>
      <c r="U41" s="3">
        <v>740</v>
      </c>
      <c r="V41" s="3">
        <v>19</v>
      </c>
      <c r="W41" s="3">
        <v>20.6</v>
      </c>
      <c r="X41" s="9">
        <f t="shared" si="1"/>
        <v>19800</v>
      </c>
      <c r="AF41" s="3" t="s">
        <v>132</v>
      </c>
      <c r="AG41" s="9">
        <v>18684.05</v>
      </c>
      <c r="AH41" s="3">
        <v>2</v>
      </c>
    </row>
    <row r="42" spans="4:34" ht="12.75">
      <c r="D42" s="3">
        <f t="shared" si="0"/>
        <v>40</v>
      </c>
      <c r="E42" s="36" t="s">
        <v>424</v>
      </c>
      <c r="F42" s="3" t="s">
        <v>334</v>
      </c>
      <c r="G42" s="3" t="s">
        <v>365</v>
      </c>
      <c r="K42" s="9">
        <v>19000</v>
      </c>
      <c r="M42" s="3">
        <v>4</v>
      </c>
      <c r="O42" s="3" t="s">
        <v>210</v>
      </c>
      <c r="P42" s="15">
        <v>15</v>
      </c>
      <c r="Q42" s="3">
        <v>5</v>
      </c>
      <c r="R42" s="3" t="s">
        <v>174</v>
      </c>
      <c r="U42" s="3" t="s">
        <v>157</v>
      </c>
      <c r="V42" s="3">
        <v>18.4</v>
      </c>
      <c r="X42" s="9">
        <f t="shared" si="1"/>
        <v>18400</v>
      </c>
      <c r="AF42" s="3" t="s">
        <v>126</v>
      </c>
      <c r="AG42" s="9">
        <v>18916.15</v>
      </c>
      <c r="AH42" s="3">
        <v>2</v>
      </c>
    </row>
    <row r="43" spans="4:34" ht="12.75">
      <c r="D43" s="3">
        <f t="shared" si="0"/>
        <v>41</v>
      </c>
      <c r="E43" s="36" t="s">
        <v>425</v>
      </c>
      <c r="F43" s="3" t="s">
        <v>335</v>
      </c>
      <c r="G43" s="3" t="s">
        <v>366</v>
      </c>
      <c r="K43" s="9">
        <v>18400</v>
      </c>
      <c r="M43" s="3">
        <v>4</v>
      </c>
      <c r="O43" s="3" t="s">
        <v>213</v>
      </c>
      <c r="P43" s="15">
        <v>10</v>
      </c>
      <c r="Q43" s="3">
        <v>15</v>
      </c>
      <c r="R43" s="3" t="s">
        <v>174</v>
      </c>
      <c r="S43" s="3" t="s">
        <v>175</v>
      </c>
      <c r="T43" s="3" t="s">
        <v>195</v>
      </c>
      <c r="U43" s="3">
        <v>590</v>
      </c>
      <c r="V43" s="3">
        <v>19.3</v>
      </c>
      <c r="X43" s="9">
        <f t="shared" si="1"/>
        <v>19300</v>
      </c>
      <c r="AF43" s="3" t="s">
        <v>135</v>
      </c>
      <c r="AG43" s="9">
        <v>19960.6</v>
      </c>
      <c r="AH43" s="3">
        <v>2</v>
      </c>
    </row>
    <row r="44" spans="4:34" ht="15">
      <c r="D44" s="3">
        <f t="shared" si="0"/>
        <v>42</v>
      </c>
      <c r="E44" s="36" t="s">
        <v>426</v>
      </c>
      <c r="F44" s="3" t="s">
        <v>336</v>
      </c>
      <c r="G44" s="3" t="s">
        <v>367</v>
      </c>
      <c r="K44" s="9">
        <v>19800</v>
      </c>
      <c r="M44" s="3">
        <v>4</v>
      </c>
      <c r="O44" s="3" t="s">
        <v>214</v>
      </c>
      <c r="P44" s="15" t="s">
        <v>264</v>
      </c>
      <c r="Q44" s="3" t="s">
        <v>215</v>
      </c>
      <c r="R44" s="3" t="s">
        <v>152</v>
      </c>
      <c r="S44" s="3" t="s">
        <v>153</v>
      </c>
      <c r="T44" s="3" t="s">
        <v>186</v>
      </c>
      <c r="U44" s="3" t="s">
        <v>216</v>
      </c>
      <c r="V44" s="3">
        <v>17.5</v>
      </c>
      <c r="W44" s="3">
        <v>19.5</v>
      </c>
      <c r="X44" s="9">
        <f t="shared" si="1"/>
        <v>18500</v>
      </c>
      <c r="AF44" s="3" t="s">
        <v>131</v>
      </c>
      <c r="AG44" s="9">
        <v>18684.05</v>
      </c>
      <c r="AH44" s="3">
        <v>2</v>
      </c>
    </row>
    <row r="45" spans="4:34" ht="12.75">
      <c r="D45" s="3">
        <f t="shared" si="0"/>
        <v>43</v>
      </c>
      <c r="E45" s="36" t="s">
        <v>427</v>
      </c>
      <c r="F45" s="3" t="s">
        <v>292</v>
      </c>
      <c r="G45" s="3" t="s">
        <v>104</v>
      </c>
      <c r="H45" s="3">
        <v>4900</v>
      </c>
      <c r="I45" s="3">
        <v>5200</v>
      </c>
      <c r="J45" s="17">
        <f>AVERAGE(H45,I45)</f>
        <v>5050</v>
      </c>
      <c r="K45" s="9">
        <f>J45*4.2</f>
        <v>21210</v>
      </c>
      <c r="L45" s="9"/>
      <c r="M45" s="3">
        <v>1</v>
      </c>
      <c r="O45" s="3" t="s">
        <v>217</v>
      </c>
      <c r="P45" s="15">
        <v>8</v>
      </c>
      <c r="Q45" s="3" t="s">
        <v>157</v>
      </c>
      <c r="R45" s="3" t="s">
        <v>174</v>
      </c>
      <c r="S45" s="3" t="s">
        <v>175</v>
      </c>
      <c r="T45" s="3" t="s">
        <v>154</v>
      </c>
      <c r="U45" s="3">
        <v>800</v>
      </c>
      <c r="V45" s="3">
        <v>19</v>
      </c>
      <c r="W45" s="3">
        <v>20.5</v>
      </c>
      <c r="X45" s="9">
        <f t="shared" si="1"/>
        <v>19750</v>
      </c>
      <c r="AF45" s="3" t="s">
        <v>136</v>
      </c>
      <c r="AG45" s="9">
        <v>18544.79</v>
      </c>
      <c r="AH45" s="3">
        <v>2</v>
      </c>
    </row>
    <row r="46" spans="4:34" ht="12.75">
      <c r="D46" s="3">
        <f t="shared" si="0"/>
        <v>44</v>
      </c>
      <c r="E46" s="36" t="s">
        <v>428</v>
      </c>
      <c r="F46" s="3" t="s">
        <v>293</v>
      </c>
      <c r="G46" s="3" t="s">
        <v>77</v>
      </c>
      <c r="H46" s="3">
        <v>4600</v>
      </c>
      <c r="J46" s="17">
        <f>AVERAGE(H46,I46)</f>
        <v>4600</v>
      </c>
      <c r="K46" s="9">
        <f>J46*4.2</f>
        <v>19320</v>
      </c>
      <c r="L46" s="9"/>
      <c r="M46" s="3">
        <v>1</v>
      </c>
      <c r="O46" s="3" t="s">
        <v>218</v>
      </c>
      <c r="P46" s="13" t="s">
        <v>257</v>
      </c>
      <c r="Q46" s="3">
        <v>30</v>
      </c>
      <c r="R46" s="3" t="s">
        <v>174</v>
      </c>
      <c r="S46" s="3" t="s">
        <v>153</v>
      </c>
      <c r="T46" s="3" t="s">
        <v>166</v>
      </c>
      <c r="U46" s="3" t="s">
        <v>182</v>
      </c>
      <c r="V46" s="3">
        <v>20.1</v>
      </c>
      <c r="X46" s="9">
        <f t="shared" si="1"/>
        <v>20100</v>
      </c>
      <c r="AF46" s="3" t="s">
        <v>127</v>
      </c>
      <c r="AG46" s="9">
        <v>20424.8</v>
      </c>
      <c r="AH46" s="3">
        <v>2</v>
      </c>
    </row>
    <row r="47" spans="4:34" ht="12.75">
      <c r="D47" s="3">
        <f t="shared" si="0"/>
        <v>45</v>
      </c>
      <c r="E47" s="36" t="s">
        <v>429</v>
      </c>
      <c r="F47" s="3" t="s">
        <v>337</v>
      </c>
      <c r="G47" s="3" t="s">
        <v>368</v>
      </c>
      <c r="K47" s="9">
        <v>18600</v>
      </c>
      <c r="M47" s="3">
        <v>4</v>
      </c>
      <c r="O47" s="3" t="s">
        <v>219</v>
      </c>
      <c r="P47" s="13" t="s">
        <v>257</v>
      </c>
      <c r="Q47" s="3">
        <v>30</v>
      </c>
      <c r="R47" s="3" t="s">
        <v>174</v>
      </c>
      <c r="S47" s="3" t="s">
        <v>153</v>
      </c>
      <c r="T47" s="3" t="s">
        <v>166</v>
      </c>
      <c r="U47" s="3" t="s">
        <v>182</v>
      </c>
      <c r="V47" s="3">
        <v>21.3</v>
      </c>
      <c r="X47" s="9">
        <f t="shared" si="1"/>
        <v>21300</v>
      </c>
      <c r="AF47" s="3" t="s">
        <v>128</v>
      </c>
      <c r="AG47" s="9">
        <v>20633.69</v>
      </c>
      <c r="AH47" s="3">
        <v>2</v>
      </c>
    </row>
    <row r="48" spans="4:34" ht="12.75">
      <c r="D48" s="3">
        <f t="shared" si="0"/>
        <v>46</v>
      </c>
      <c r="E48" s="36" t="s">
        <v>430</v>
      </c>
      <c r="F48" s="3" t="s">
        <v>338</v>
      </c>
      <c r="G48" s="3" t="s">
        <v>369</v>
      </c>
      <c r="K48" s="9">
        <v>18100</v>
      </c>
      <c r="M48" s="3">
        <v>4</v>
      </c>
      <c r="O48" s="3" t="s">
        <v>220</v>
      </c>
      <c r="P48" s="13" t="s">
        <v>265</v>
      </c>
      <c r="Q48" s="3">
        <v>8</v>
      </c>
      <c r="R48" s="3" t="s">
        <v>174</v>
      </c>
      <c r="U48" s="3" t="s">
        <v>157</v>
      </c>
      <c r="V48" s="3">
        <v>20</v>
      </c>
      <c r="X48" s="9">
        <f t="shared" si="1"/>
        <v>20000</v>
      </c>
      <c r="AF48" s="3" t="s">
        <v>139</v>
      </c>
      <c r="AG48" s="9">
        <v>18916.15</v>
      </c>
      <c r="AH48" s="3">
        <v>2</v>
      </c>
    </row>
    <row r="49" spans="4:34" ht="12.75">
      <c r="D49" s="3">
        <f t="shared" si="0"/>
        <v>47</v>
      </c>
      <c r="E49" s="36" t="s">
        <v>431</v>
      </c>
      <c r="F49" s="3" t="s">
        <v>294</v>
      </c>
      <c r="G49" s="3" t="s">
        <v>81</v>
      </c>
      <c r="H49" s="3">
        <v>5200</v>
      </c>
      <c r="J49" s="17">
        <f>AVERAGE(H49,I49)</f>
        <v>5200</v>
      </c>
      <c r="K49" s="9">
        <f>J49*4.2</f>
        <v>21840</v>
      </c>
      <c r="L49" s="9" t="s">
        <v>88</v>
      </c>
      <c r="M49" s="3">
        <v>1</v>
      </c>
      <c r="O49" s="3" t="s">
        <v>221</v>
      </c>
      <c r="P49" s="15">
        <v>10</v>
      </c>
      <c r="Q49" s="3">
        <v>25</v>
      </c>
      <c r="R49" s="3" t="s">
        <v>174</v>
      </c>
      <c r="U49" s="3" t="s">
        <v>157</v>
      </c>
      <c r="V49" s="3">
        <v>18.7</v>
      </c>
      <c r="X49" s="9">
        <f t="shared" si="1"/>
        <v>18700</v>
      </c>
      <c r="AF49" s="3" t="s">
        <v>134</v>
      </c>
      <c r="AG49" s="9">
        <v>18684.05</v>
      </c>
      <c r="AH49" s="3">
        <v>2</v>
      </c>
    </row>
    <row r="50" spans="4:34" ht="15">
      <c r="D50" s="3">
        <f t="shared" si="0"/>
        <v>48</v>
      </c>
      <c r="E50" s="36" t="s">
        <v>432</v>
      </c>
      <c r="F50" s="3" t="s">
        <v>295</v>
      </c>
      <c r="G50" s="3" t="s">
        <v>94</v>
      </c>
      <c r="H50" s="3">
        <v>4800</v>
      </c>
      <c r="J50" s="17">
        <f>AVERAGE(H50,I50)</f>
        <v>4800</v>
      </c>
      <c r="K50" s="9">
        <f>J50*4.2</f>
        <v>20160</v>
      </c>
      <c r="M50" s="3">
        <v>1</v>
      </c>
      <c r="O50" s="3" t="s">
        <v>222</v>
      </c>
      <c r="P50" s="15" t="s">
        <v>266</v>
      </c>
      <c r="Q50" s="3" t="s">
        <v>223</v>
      </c>
      <c r="R50" s="3" t="s">
        <v>152</v>
      </c>
      <c r="S50" s="3" t="s">
        <v>153</v>
      </c>
      <c r="T50" s="3" t="s">
        <v>154</v>
      </c>
      <c r="U50" s="3">
        <v>420</v>
      </c>
      <c r="V50" s="3">
        <v>19.3</v>
      </c>
      <c r="X50" s="9">
        <f t="shared" si="1"/>
        <v>19300</v>
      </c>
      <c r="AF50" s="3" t="s">
        <v>138</v>
      </c>
      <c r="AG50" s="9">
        <v>22513.7</v>
      </c>
      <c r="AH50" s="3">
        <v>2</v>
      </c>
    </row>
    <row r="51" spans="4:34" ht="12.75">
      <c r="D51" s="3">
        <f t="shared" si="0"/>
        <v>49</v>
      </c>
      <c r="E51" s="36" t="s">
        <v>433</v>
      </c>
      <c r="F51" s="3" t="s">
        <v>339</v>
      </c>
      <c r="G51" s="3" t="s">
        <v>370</v>
      </c>
      <c r="K51" s="9">
        <v>18700</v>
      </c>
      <c r="M51" s="3">
        <v>4</v>
      </c>
      <c r="O51" s="3" t="s">
        <v>224</v>
      </c>
      <c r="P51" s="15">
        <v>17</v>
      </c>
      <c r="Q51" s="3">
        <v>25</v>
      </c>
      <c r="R51" s="3" t="s">
        <v>152</v>
      </c>
      <c r="S51" s="3" t="s">
        <v>175</v>
      </c>
      <c r="T51" s="3" t="s">
        <v>195</v>
      </c>
      <c r="U51" s="3" t="s">
        <v>157</v>
      </c>
      <c r="V51" s="3">
        <v>20.7</v>
      </c>
      <c r="X51" s="9">
        <f t="shared" si="1"/>
        <v>20700</v>
      </c>
      <c r="AF51" s="3" t="s">
        <v>129</v>
      </c>
      <c r="AG51" s="9">
        <v>19519.61</v>
      </c>
      <c r="AH51" s="3">
        <v>2</v>
      </c>
    </row>
    <row r="52" spans="4:34" ht="12.75">
      <c r="D52" s="3">
        <f t="shared" si="0"/>
        <v>50</v>
      </c>
      <c r="E52" s="36" t="s">
        <v>434</v>
      </c>
      <c r="F52" s="3" t="s">
        <v>296</v>
      </c>
      <c r="G52" s="3" t="s">
        <v>87</v>
      </c>
      <c r="H52" s="3">
        <v>4800</v>
      </c>
      <c r="J52" s="17">
        <f>AVERAGE(H52,I52)</f>
        <v>4800</v>
      </c>
      <c r="K52" s="9">
        <f>J52*4.2</f>
        <v>20160</v>
      </c>
      <c r="L52" s="9"/>
      <c r="M52" s="3">
        <v>1</v>
      </c>
      <c r="O52" s="3" t="s">
        <v>225</v>
      </c>
      <c r="P52" s="15" t="s">
        <v>157</v>
      </c>
      <c r="Q52" s="3" t="s">
        <v>157</v>
      </c>
      <c r="R52" s="3" t="s">
        <v>152</v>
      </c>
      <c r="S52" s="3" t="s">
        <v>175</v>
      </c>
      <c r="T52" s="3" t="s">
        <v>154</v>
      </c>
      <c r="U52" s="3">
        <v>770</v>
      </c>
      <c r="V52" s="3">
        <v>20.1</v>
      </c>
      <c r="W52" s="3">
        <v>20.5</v>
      </c>
      <c r="X52" s="9">
        <f t="shared" si="1"/>
        <v>20300</v>
      </c>
      <c r="AF52" s="3" t="s">
        <v>137</v>
      </c>
      <c r="AG52" s="9">
        <v>19519.61</v>
      </c>
      <c r="AH52" s="3">
        <v>2</v>
      </c>
    </row>
    <row r="53" spans="4:34" ht="12.75">
      <c r="D53" s="3">
        <f t="shared" si="0"/>
        <v>51</v>
      </c>
      <c r="E53" s="36" t="s">
        <v>435</v>
      </c>
      <c r="F53" s="3" t="s">
        <v>340</v>
      </c>
      <c r="G53" s="3" t="s">
        <v>371</v>
      </c>
      <c r="K53" s="9">
        <v>19750</v>
      </c>
      <c r="M53" s="3">
        <v>4</v>
      </c>
      <c r="O53" s="3" t="s">
        <v>226</v>
      </c>
      <c r="P53" s="15" t="s">
        <v>157</v>
      </c>
      <c r="Q53" s="3" t="s">
        <v>157</v>
      </c>
      <c r="R53" s="3" t="s">
        <v>174</v>
      </c>
      <c r="S53" s="3" t="s">
        <v>175</v>
      </c>
      <c r="U53" s="3">
        <v>560</v>
      </c>
      <c r="V53" s="3">
        <v>16.3</v>
      </c>
      <c r="X53" s="9">
        <f t="shared" si="1"/>
        <v>16300</v>
      </c>
      <c r="AF53" s="3" t="s">
        <v>130</v>
      </c>
      <c r="AG53" s="9">
        <v>18962.57</v>
      </c>
      <c r="AH53" s="3">
        <v>2</v>
      </c>
    </row>
    <row r="54" spans="4:34" ht="12.75">
      <c r="D54" s="3">
        <f t="shared" si="0"/>
        <v>52</v>
      </c>
      <c r="E54" s="36" t="s">
        <v>436</v>
      </c>
      <c r="F54" s="3" t="s">
        <v>297</v>
      </c>
      <c r="G54" s="3" t="s">
        <v>109</v>
      </c>
      <c r="K54" s="9">
        <f>VLOOKUP(G54,'Calorific values'!Z$4:AD$26,5)</f>
        <v>18916.15</v>
      </c>
      <c r="L54" s="9"/>
      <c r="M54" s="3">
        <v>2</v>
      </c>
      <c r="O54" s="3" t="s">
        <v>227</v>
      </c>
      <c r="R54" s="3" t="s">
        <v>174</v>
      </c>
      <c r="S54" s="3" t="s">
        <v>175</v>
      </c>
      <c r="U54" s="3">
        <v>580</v>
      </c>
      <c r="V54" s="3">
        <v>15.4</v>
      </c>
      <c r="X54" s="9">
        <f t="shared" si="1"/>
        <v>15400</v>
      </c>
      <c r="AF54" s="10" t="s">
        <v>151</v>
      </c>
      <c r="AG54" s="11">
        <v>19000</v>
      </c>
      <c r="AH54" s="10">
        <v>4</v>
      </c>
    </row>
    <row r="55" spans="4:34" ht="12.75">
      <c r="D55" s="3">
        <f t="shared" si="0"/>
        <v>53</v>
      </c>
      <c r="E55" s="36" t="s">
        <v>437</v>
      </c>
      <c r="F55" s="3" t="s">
        <v>341</v>
      </c>
      <c r="G55" s="3" t="s">
        <v>373</v>
      </c>
      <c r="K55" s="9">
        <v>18400</v>
      </c>
      <c r="M55" s="3">
        <v>4</v>
      </c>
      <c r="O55" s="3" t="s">
        <v>228</v>
      </c>
      <c r="Q55" s="3" t="s">
        <v>157</v>
      </c>
      <c r="R55" s="3" t="s">
        <v>174</v>
      </c>
      <c r="S55" s="3" t="s">
        <v>175</v>
      </c>
      <c r="U55" s="3">
        <v>690</v>
      </c>
      <c r="V55" s="3">
        <v>18.3</v>
      </c>
      <c r="X55" s="9">
        <f t="shared" si="1"/>
        <v>18300</v>
      </c>
      <c r="AF55" s="10" t="s">
        <v>156</v>
      </c>
      <c r="AG55" s="11">
        <v>18700</v>
      </c>
      <c r="AH55" s="10">
        <v>4</v>
      </c>
    </row>
    <row r="56" spans="4:34" ht="12.75">
      <c r="D56" s="3">
        <f t="shared" si="0"/>
        <v>54</v>
      </c>
      <c r="E56" s="36" t="s">
        <v>298</v>
      </c>
      <c r="F56" s="3" t="s">
        <v>298</v>
      </c>
      <c r="G56" s="3" t="s">
        <v>372</v>
      </c>
      <c r="H56" s="3">
        <v>4900</v>
      </c>
      <c r="J56" s="17">
        <f>AVERAGE(H56,I56)</f>
        <v>4900</v>
      </c>
      <c r="K56" s="9">
        <f>J56*4.2</f>
        <v>20580</v>
      </c>
      <c r="L56" s="9"/>
      <c r="M56" s="3">
        <v>1</v>
      </c>
      <c r="P56" s="13"/>
      <c r="Q56" s="14"/>
      <c r="AF56" s="3" t="s">
        <v>158</v>
      </c>
      <c r="AG56" s="9">
        <v>19200</v>
      </c>
      <c r="AH56" s="3">
        <v>4</v>
      </c>
    </row>
    <row r="57" spans="4:34" ht="12.75">
      <c r="D57" s="3">
        <f t="shared" si="0"/>
        <v>55</v>
      </c>
      <c r="E57" s="36" t="s">
        <v>438</v>
      </c>
      <c r="F57" s="7" t="s">
        <v>299</v>
      </c>
      <c r="G57" s="7" t="s">
        <v>82</v>
      </c>
      <c r="H57" s="7">
        <v>4800</v>
      </c>
      <c r="I57" s="7"/>
      <c r="J57" s="18">
        <f>AVERAGE(H57,I57)</f>
        <v>4800</v>
      </c>
      <c r="K57" s="19">
        <f>J57*4.2</f>
        <v>20160</v>
      </c>
      <c r="L57" s="9"/>
      <c r="M57" s="3">
        <v>1</v>
      </c>
      <c r="O57" s="3" t="s">
        <v>229</v>
      </c>
      <c r="AF57" s="3" t="s">
        <v>159</v>
      </c>
      <c r="AG57" s="9">
        <v>21800</v>
      </c>
      <c r="AH57" s="3">
        <v>4</v>
      </c>
    </row>
    <row r="58" spans="4:34" ht="12.75">
      <c r="D58" s="3">
        <f t="shared" si="0"/>
        <v>56</v>
      </c>
      <c r="E58" s="36" t="s">
        <v>439</v>
      </c>
      <c r="F58" s="3" t="s">
        <v>342</v>
      </c>
      <c r="G58" s="3" t="s">
        <v>374</v>
      </c>
      <c r="K58" s="9">
        <v>19300</v>
      </c>
      <c r="M58" s="3">
        <v>4</v>
      </c>
      <c r="O58" s="3" t="s">
        <v>230</v>
      </c>
      <c r="AF58" s="10" t="s">
        <v>160</v>
      </c>
      <c r="AG58" s="11">
        <v>18000</v>
      </c>
      <c r="AH58" s="10">
        <v>4</v>
      </c>
    </row>
    <row r="59" spans="4:34" ht="12.75">
      <c r="D59" s="3">
        <f t="shared" si="0"/>
        <v>57</v>
      </c>
      <c r="E59" s="36" t="s">
        <v>440</v>
      </c>
      <c r="F59" s="3" t="s">
        <v>300</v>
      </c>
      <c r="G59" s="3" t="s">
        <v>83</v>
      </c>
      <c r="H59" s="3">
        <v>4200</v>
      </c>
      <c r="I59" s="3">
        <v>4600</v>
      </c>
      <c r="J59" s="17">
        <f>AVERAGE(H59,I59)</f>
        <v>4400</v>
      </c>
      <c r="K59" s="9">
        <f>J59*4.2</f>
        <v>18480</v>
      </c>
      <c r="M59" s="3">
        <v>1</v>
      </c>
      <c r="O59" s="3" t="s">
        <v>231</v>
      </c>
      <c r="AF59" s="10" t="s">
        <v>162</v>
      </c>
      <c r="AG59" s="11">
        <v>18100</v>
      </c>
      <c r="AH59" s="10">
        <v>4</v>
      </c>
    </row>
    <row r="60" spans="4:34" ht="12.75">
      <c r="D60" s="3">
        <f t="shared" si="0"/>
        <v>58</v>
      </c>
      <c r="E60" s="36" t="s">
        <v>441</v>
      </c>
      <c r="F60" s="3" t="s">
        <v>301</v>
      </c>
      <c r="G60" s="3" t="s">
        <v>101</v>
      </c>
      <c r="H60" s="3">
        <v>5043</v>
      </c>
      <c r="I60" s="3">
        <v>5176</v>
      </c>
      <c r="J60" s="17">
        <f>AVERAGE(H60,I60)</f>
        <v>5109.5</v>
      </c>
      <c r="K60" s="9">
        <f>J60*4.2</f>
        <v>21459.9</v>
      </c>
      <c r="M60" s="3">
        <v>1</v>
      </c>
      <c r="O60" s="3" t="s">
        <v>232</v>
      </c>
      <c r="AF60" s="3" t="s">
        <v>165</v>
      </c>
      <c r="AG60" s="9">
        <v>21800</v>
      </c>
      <c r="AH60" s="3">
        <v>4</v>
      </c>
    </row>
    <row r="61" spans="4:34" ht="12.75">
      <c r="D61" s="3">
        <f t="shared" si="0"/>
        <v>59</v>
      </c>
      <c r="E61" s="36" t="s">
        <v>442</v>
      </c>
      <c r="F61" s="3" t="s">
        <v>302</v>
      </c>
      <c r="G61" s="3" t="s">
        <v>118</v>
      </c>
      <c r="K61" s="9">
        <f>VLOOKUP(G61,'Calorific values'!Z$4:AD$26,5)</f>
        <v>19960.600000000002</v>
      </c>
      <c r="L61" s="9"/>
      <c r="M61" s="3">
        <v>2</v>
      </c>
      <c r="O61" s="3" t="s">
        <v>233</v>
      </c>
      <c r="AF61" s="3" t="s">
        <v>168</v>
      </c>
      <c r="AG61" s="9">
        <v>19700</v>
      </c>
      <c r="AH61" s="3">
        <v>4</v>
      </c>
    </row>
    <row r="62" spans="4:34" ht="12.75">
      <c r="D62" s="3">
        <f t="shared" si="0"/>
        <v>60</v>
      </c>
      <c r="E62" s="36" t="s">
        <v>443</v>
      </c>
      <c r="F62" s="3" t="s">
        <v>303</v>
      </c>
      <c r="G62" s="3" t="s">
        <v>115</v>
      </c>
      <c r="K62" s="9">
        <f>VLOOKUP(G62,'Calorific values'!Z$4:AD$26,5)</f>
        <v>18684.050000000003</v>
      </c>
      <c r="M62" s="3">
        <v>2</v>
      </c>
      <c r="O62" s="3" t="s">
        <v>234</v>
      </c>
      <c r="AF62" s="3" t="s">
        <v>169</v>
      </c>
      <c r="AG62" s="9">
        <v>17150</v>
      </c>
      <c r="AH62" s="3">
        <v>4</v>
      </c>
    </row>
    <row r="63" spans="4:34" ht="12.75">
      <c r="D63" s="3">
        <f t="shared" si="0"/>
        <v>61</v>
      </c>
      <c r="E63" s="36" t="s">
        <v>444</v>
      </c>
      <c r="F63" s="3" t="s">
        <v>304</v>
      </c>
      <c r="G63" s="3" t="s">
        <v>95</v>
      </c>
      <c r="H63" s="3">
        <v>5200</v>
      </c>
      <c r="I63" s="3">
        <v>5600</v>
      </c>
      <c r="J63" s="17">
        <f>AVERAGE(H63,I63)</f>
        <v>5400</v>
      </c>
      <c r="K63" s="9">
        <f>J63*4.2</f>
        <v>22680</v>
      </c>
      <c r="L63" s="9"/>
      <c r="M63" s="3">
        <v>1</v>
      </c>
      <c r="O63" s="3" t="s">
        <v>235</v>
      </c>
      <c r="AF63" s="3" t="s">
        <v>173</v>
      </c>
      <c r="AG63" s="9">
        <v>19200</v>
      </c>
      <c r="AH63" s="3">
        <v>4</v>
      </c>
    </row>
    <row r="64" spans="4:34" ht="12.75">
      <c r="D64" s="3">
        <f t="shared" si="0"/>
        <v>62</v>
      </c>
      <c r="E64" s="36" t="s">
        <v>445</v>
      </c>
      <c r="F64" s="3" t="s">
        <v>305</v>
      </c>
      <c r="G64" s="3" t="s">
        <v>121</v>
      </c>
      <c r="K64" s="9">
        <f>VLOOKUP(G64,'Calorific values'!Z$4:AD$26,5)</f>
        <v>18544.79</v>
      </c>
      <c r="M64" s="3">
        <v>2</v>
      </c>
      <c r="O64" s="3" t="s">
        <v>236</v>
      </c>
      <c r="AF64" s="3" t="s">
        <v>177</v>
      </c>
      <c r="AG64" s="9">
        <v>19350</v>
      </c>
      <c r="AH64" s="3">
        <v>4</v>
      </c>
    </row>
    <row r="65" spans="4:34" ht="12.75">
      <c r="D65" s="3">
        <f t="shared" si="0"/>
        <v>63</v>
      </c>
      <c r="E65" s="36" t="s">
        <v>446</v>
      </c>
      <c r="F65" s="3" t="s">
        <v>306</v>
      </c>
      <c r="G65" s="3" t="s">
        <v>105</v>
      </c>
      <c r="H65" s="3">
        <v>5008</v>
      </c>
      <c r="I65" s="3">
        <v>5019</v>
      </c>
      <c r="J65" s="17">
        <f>AVERAGE(H65,I65)</f>
        <v>5013.5</v>
      </c>
      <c r="K65" s="9">
        <f>J65*4.2</f>
        <v>21056.7</v>
      </c>
      <c r="L65" s="9"/>
      <c r="M65" s="3">
        <v>1</v>
      </c>
      <c r="O65" s="3" t="s">
        <v>237</v>
      </c>
      <c r="AF65" s="3" t="s">
        <v>178</v>
      </c>
      <c r="AG65" s="9">
        <v>19100</v>
      </c>
      <c r="AH65" s="3">
        <v>4</v>
      </c>
    </row>
    <row r="66" spans="4:34" ht="12.75">
      <c r="D66" s="3">
        <f t="shared" si="0"/>
        <v>64</v>
      </c>
      <c r="E66" s="36" t="s">
        <v>447</v>
      </c>
      <c r="F66" s="3" t="s">
        <v>307</v>
      </c>
      <c r="G66" s="3" t="s">
        <v>110</v>
      </c>
      <c r="K66" s="9">
        <f>VLOOKUP(G66,'Calorific values'!Z$4:AD$26,5)</f>
        <v>20424.800000000003</v>
      </c>
      <c r="M66" s="3">
        <v>2</v>
      </c>
      <c r="O66" s="3" t="s">
        <v>238</v>
      </c>
      <c r="AF66" s="3" t="s">
        <v>179</v>
      </c>
      <c r="AG66" s="9">
        <v>18500</v>
      </c>
      <c r="AH66" s="3">
        <v>4</v>
      </c>
    </row>
    <row r="67" spans="4:34" ht="12.75">
      <c r="D67" s="3">
        <f aca="true" t="shared" si="5" ref="D67:D88">D66+1</f>
        <v>65</v>
      </c>
      <c r="E67" s="36" t="s">
        <v>448</v>
      </c>
      <c r="F67" s="3" t="s">
        <v>308</v>
      </c>
      <c r="G67" s="3" t="s">
        <v>96</v>
      </c>
      <c r="H67" s="3">
        <v>5000</v>
      </c>
      <c r="J67" s="17">
        <f>AVERAGE(H67,I67)</f>
        <v>5000</v>
      </c>
      <c r="K67" s="9">
        <f>J67*4.2</f>
        <v>21000</v>
      </c>
      <c r="L67" s="9" t="s">
        <v>92</v>
      </c>
      <c r="M67" s="3">
        <v>1</v>
      </c>
      <c r="O67" s="3" t="s">
        <v>239</v>
      </c>
      <c r="AF67" s="3" t="s">
        <v>181</v>
      </c>
      <c r="AG67" s="9">
        <v>20400</v>
      </c>
      <c r="AH67" s="3">
        <v>4</v>
      </c>
    </row>
    <row r="68" spans="4:34" ht="12.75">
      <c r="D68" s="3">
        <f t="shared" si="5"/>
        <v>66</v>
      </c>
      <c r="E68" s="36" t="s">
        <v>449</v>
      </c>
      <c r="F68" s="3" t="s">
        <v>343</v>
      </c>
      <c r="G68" s="3" t="s">
        <v>375</v>
      </c>
      <c r="K68" s="9">
        <v>19750</v>
      </c>
      <c r="M68" s="3">
        <v>4</v>
      </c>
      <c r="O68" s="3" t="s">
        <v>240</v>
      </c>
      <c r="AF68" s="3" t="s">
        <v>183</v>
      </c>
      <c r="AG68" s="9">
        <v>18700</v>
      </c>
      <c r="AH68" s="3">
        <v>4</v>
      </c>
    </row>
    <row r="69" spans="4:34" ht="12.75">
      <c r="D69" s="3">
        <f t="shared" si="5"/>
        <v>67</v>
      </c>
      <c r="E69" s="36" t="s">
        <v>450</v>
      </c>
      <c r="F69" s="3" t="s">
        <v>309</v>
      </c>
      <c r="G69" s="3" t="s">
        <v>38</v>
      </c>
      <c r="K69" s="9">
        <f>VLOOKUP(G69,'Calorific values'!Z$4:AD$26,5)</f>
        <v>20633.69</v>
      </c>
      <c r="M69" s="3">
        <v>2</v>
      </c>
      <c r="O69" s="3" t="s">
        <v>241</v>
      </c>
      <c r="AF69" s="3" t="s">
        <v>184</v>
      </c>
      <c r="AG69" s="9">
        <v>19400</v>
      </c>
      <c r="AH69" s="3">
        <v>4</v>
      </c>
    </row>
    <row r="70" spans="4:34" ht="12.75">
      <c r="D70" s="3">
        <f t="shared" si="5"/>
        <v>68</v>
      </c>
      <c r="E70" s="36" t="s">
        <v>451</v>
      </c>
      <c r="F70" s="3" t="s">
        <v>310</v>
      </c>
      <c r="G70" s="3" t="s">
        <v>99</v>
      </c>
      <c r="H70" s="3">
        <v>4792</v>
      </c>
      <c r="J70" s="17">
        <f>AVERAGE(H70,I70)</f>
        <v>4792</v>
      </c>
      <c r="K70" s="9">
        <f>J70*4.2</f>
        <v>20126.4</v>
      </c>
      <c r="M70" s="3">
        <v>1</v>
      </c>
      <c r="O70" s="3" t="s">
        <v>242</v>
      </c>
      <c r="AF70" s="10" t="s">
        <v>185</v>
      </c>
      <c r="AG70" s="11">
        <v>19400</v>
      </c>
      <c r="AH70" s="10">
        <v>4</v>
      </c>
    </row>
    <row r="71" spans="4:34" ht="12.75">
      <c r="D71" s="3">
        <f t="shared" si="5"/>
        <v>69</v>
      </c>
      <c r="E71" s="36" t="s">
        <v>452</v>
      </c>
      <c r="F71" s="3" t="s">
        <v>311</v>
      </c>
      <c r="G71" s="3" t="s">
        <v>124</v>
      </c>
      <c r="K71" s="9">
        <f>VLOOKUP(G71,'Calorific values'!Z$4:AD$26,5)</f>
        <v>18916.15</v>
      </c>
      <c r="L71" s="9"/>
      <c r="M71" s="3">
        <v>2</v>
      </c>
      <c r="O71" s="3" t="s">
        <v>243</v>
      </c>
      <c r="AF71" s="3" t="s">
        <v>188</v>
      </c>
      <c r="AG71" s="9">
        <v>18400</v>
      </c>
      <c r="AH71" s="3">
        <v>4</v>
      </c>
    </row>
    <row r="72" spans="4:34" ht="12.75">
      <c r="D72" s="3">
        <f t="shared" si="5"/>
        <v>70</v>
      </c>
      <c r="E72" s="36" t="s">
        <v>453</v>
      </c>
      <c r="F72" s="3" t="s">
        <v>312</v>
      </c>
      <c r="G72" s="3" t="s">
        <v>117</v>
      </c>
      <c r="K72" s="9">
        <f>VLOOKUP(G72,'Calorific values'!Z$4:AD$26,5)</f>
        <v>18684.050000000003</v>
      </c>
      <c r="L72" s="9"/>
      <c r="M72" s="3">
        <v>2</v>
      </c>
      <c r="O72" s="3" t="s">
        <v>244</v>
      </c>
      <c r="AF72" s="3" t="s">
        <v>189</v>
      </c>
      <c r="AG72" s="9">
        <v>18800</v>
      </c>
      <c r="AH72" s="3">
        <v>4</v>
      </c>
    </row>
    <row r="73" spans="4:34" ht="12.75">
      <c r="D73" s="3">
        <f t="shared" si="5"/>
        <v>71</v>
      </c>
      <c r="E73" s="36" t="s">
        <v>454</v>
      </c>
      <c r="F73" s="3" t="s">
        <v>313</v>
      </c>
      <c r="G73" s="3" t="s">
        <v>84</v>
      </c>
      <c r="H73" s="3">
        <v>4000</v>
      </c>
      <c r="I73" s="3">
        <v>4300</v>
      </c>
      <c r="J73" s="17">
        <f>AVERAGE(H73,I73)</f>
        <v>4150</v>
      </c>
      <c r="K73" s="9">
        <f>J73*4.2</f>
        <v>17430</v>
      </c>
      <c r="L73" s="9"/>
      <c r="M73" s="3">
        <v>1</v>
      </c>
      <c r="O73" s="3" t="s">
        <v>245</v>
      </c>
      <c r="AF73" s="10" t="s">
        <v>190</v>
      </c>
      <c r="AG73" s="11">
        <v>20050</v>
      </c>
      <c r="AH73" s="10">
        <v>4</v>
      </c>
    </row>
    <row r="74" spans="4:34" ht="12.75">
      <c r="D74" s="3">
        <f t="shared" si="5"/>
        <v>72</v>
      </c>
      <c r="E74" s="36" t="s">
        <v>455</v>
      </c>
      <c r="F74" s="3" t="s">
        <v>314</v>
      </c>
      <c r="G74" s="3" t="s">
        <v>102</v>
      </c>
      <c r="H74" s="3">
        <v>4134</v>
      </c>
      <c r="I74" s="3">
        <v>4277</v>
      </c>
      <c r="J74" s="17">
        <f>AVERAGE(H74,I74)</f>
        <v>4205.5</v>
      </c>
      <c r="K74" s="9">
        <f>J74*4.2</f>
        <v>17663.100000000002</v>
      </c>
      <c r="M74" s="3">
        <v>1</v>
      </c>
      <c r="O74" s="3" t="s">
        <v>246</v>
      </c>
      <c r="AF74" s="3" t="s">
        <v>192</v>
      </c>
      <c r="AG74" s="9">
        <v>19600</v>
      </c>
      <c r="AH74" s="3">
        <v>4</v>
      </c>
    </row>
    <row r="75" spans="4:34" ht="12.75">
      <c r="D75" s="3">
        <f t="shared" si="5"/>
        <v>73</v>
      </c>
      <c r="E75" s="36" t="s">
        <v>344</v>
      </c>
      <c r="F75" s="3" t="s">
        <v>344</v>
      </c>
      <c r="K75" s="9">
        <v>20000</v>
      </c>
      <c r="M75" s="3">
        <v>4</v>
      </c>
      <c r="O75" s="3" t="s">
        <v>247</v>
      </c>
      <c r="AF75" s="3" t="s">
        <v>193</v>
      </c>
      <c r="AG75" s="9">
        <v>19000</v>
      </c>
      <c r="AH75" s="3">
        <v>4</v>
      </c>
    </row>
    <row r="76" spans="4:34" ht="12.75">
      <c r="D76" s="3">
        <f t="shared" si="5"/>
        <v>74</v>
      </c>
      <c r="E76" s="36" t="s">
        <v>456</v>
      </c>
      <c r="F76" s="3" t="s">
        <v>345</v>
      </c>
      <c r="G76" s="3" t="s">
        <v>376</v>
      </c>
      <c r="K76" s="9">
        <v>18700</v>
      </c>
      <c r="M76" s="3">
        <v>4</v>
      </c>
      <c r="O76" s="3" t="s">
        <v>248</v>
      </c>
      <c r="AF76" s="3" t="s">
        <v>194</v>
      </c>
      <c r="AG76" s="9">
        <v>18400</v>
      </c>
      <c r="AH76" s="3">
        <v>4</v>
      </c>
    </row>
    <row r="77" spans="4:34" ht="12.75">
      <c r="D77" s="3">
        <f t="shared" si="5"/>
        <v>75</v>
      </c>
      <c r="E77" s="36" t="s">
        <v>457</v>
      </c>
      <c r="F77" s="3" t="s">
        <v>346</v>
      </c>
      <c r="G77" s="3" t="s">
        <v>377</v>
      </c>
      <c r="K77" s="9">
        <v>19300</v>
      </c>
      <c r="M77" s="3">
        <v>4</v>
      </c>
      <c r="O77" s="3" t="s">
        <v>249</v>
      </c>
      <c r="AF77" s="3" t="s">
        <v>196</v>
      </c>
      <c r="AG77" s="9">
        <v>19800</v>
      </c>
      <c r="AH77" s="3">
        <v>4</v>
      </c>
    </row>
    <row r="78" spans="4:34" ht="12.75">
      <c r="D78" s="3">
        <f t="shared" si="5"/>
        <v>76</v>
      </c>
      <c r="E78" s="36" t="s">
        <v>458</v>
      </c>
      <c r="F78" s="3" t="s">
        <v>224</v>
      </c>
      <c r="G78" s="3" t="s">
        <v>378</v>
      </c>
      <c r="K78" s="9">
        <v>20700</v>
      </c>
      <c r="M78" s="3">
        <v>4</v>
      </c>
      <c r="O78" s="3" t="s">
        <v>250</v>
      </c>
      <c r="AF78" s="10" t="s">
        <v>197</v>
      </c>
      <c r="AG78" s="11">
        <v>20000</v>
      </c>
      <c r="AH78" s="10">
        <v>4</v>
      </c>
    </row>
    <row r="79" spans="4:34" ht="12.75">
      <c r="D79" s="3">
        <f t="shared" si="5"/>
        <v>77</v>
      </c>
      <c r="E79" s="36" t="s">
        <v>459</v>
      </c>
      <c r="F79" s="3" t="s">
        <v>315</v>
      </c>
      <c r="G79" s="3" t="s">
        <v>85</v>
      </c>
      <c r="H79" s="3">
        <v>4800</v>
      </c>
      <c r="J79" s="17">
        <f>AVERAGE(H79,I79)</f>
        <v>4800</v>
      </c>
      <c r="K79" s="9">
        <f>J79*4.2</f>
        <v>20160</v>
      </c>
      <c r="L79" s="9"/>
      <c r="M79" s="3">
        <v>1</v>
      </c>
      <c r="O79" s="3" t="s">
        <v>251</v>
      </c>
      <c r="AF79" s="10" t="s">
        <v>198</v>
      </c>
      <c r="AG79" s="11">
        <v>19300</v>
      </c>
      <c r="AH79" s="10">
        <v>4</v>
      </c>
    </row>
    <row r="80" spans="4:34" ht="12.75">
      <c r="D80" s="3">
        <f t="shared" si="5"/>
        <v>78</v>
      </c>
      <c r="E80" s="36" t="s">
        <v>460</v>
      </c>
      <c r="F80" s="3" t="s">
        <v>316</v>
      </c>
      <c r="G80" s="3" t="s">
        <v>123</v>
      </c>
      <c r="K80" s="9">
        <f>VLOOKUP(G80,'Calorific values'!Z$4:AD$26,5)</f>
        <v>22513.7</v>
      </c>
      <c r="M80" s="3">
        <v>2</v>
      </c>
      <c r="O80" s="3" t="s">
        <v>252</v>
      </c>
      <c r="AF80" s="20" t="s">
        <v>199</v>
      </c>
      <c r="AG80" s="9">
        <v>18600</v>
      </c>
      <c r="AH80" s="3">
        <v>4</v>
      </c>
    </row>
    <row r="81" spans="4:34" ht="12.75">
      <c r="D81" s="3">
        <f t="shared" si="5"/>
        <v>79</v>
      </c>
      <c r="E81" s="36" t="s">
        <v>317</v>
      </c>
      <c r="F81" s="3" t="s">
        <v>317</v>
      </c>
      <c r="H81" s="3">
        <v>4500</v>
      </c>
      <c r="J81" s="17">
        <f>AVERAGE(H81,I81)</f>
        <v>4500</v>
      </c>
      <c r="K81" s="9">
        <f>J81*4.2</f>
        <v>18900</v>
      </c>
      <c r="M81" s="3">
        <v>1</v>
      </c>
      <c r="O81" s="3" t="s">
        <v>253</v>
      </c>
      <c r="AF81" s="3" t="s">
        <v>200</v>
      </c>
      <c r="AG81" s="9">
        <v>18100</v>
      </c>
      <c r="AH81" s="3">
        <v>4</v>
      </c>
    </row>
    <row r="82" spans="4:34" ht="12.75">
      <c r="D82" s="3">
        <f t="shared" si="5"/>
        <v>80</v>
      </c>
      <c r="E82" s="36" t="s">
        <v>461</v>
      </c>
      <c r="F82" s="3" t="s">
        <v>318</v>
      </c>
      <c r="G82" s="3" t="s">
        <v>112</v>
      </c>
      <c r="K82" s="9">
        <f>VLOOKUP(G82,'Calorific values'!Z$4:AD$26,5)</f>
        <v>19519.61</v>
      </c>
      <c r="M82" s="3">
        <v>2</v>
      </c>
      <c r="O82" s="3" t="s">
        <v>254</v>
      </c>
      <c r="AF82" s="10" t="s">
        <v>201</v>
      </c>
      <c r="AG82" s="11">
        <v>20000</v>
      </c>
      <c r="AH82" s="10">
        <v>4</v>
      </c>
    </row>
    <row r="83" spans="4:34" ht="12.75">
      <c r="D83" s="3">
        <f t="shared" si="5"/>
        <v>81</v>
      </c>
      <c r="E83" s="36" t="s">
        <v>462</v>
      </c>
      <c r="F83" s="3" t="s">
        <v>319</v>
      </c>
      <c r="G83" s="3" t="s">
        <v>122</v>
      </c>
      <c r="K83" s="9">
        <f>VLOOKUP(G83,'Calorific values'!Z$4:AD$26,5)</f>
        <v>19519.61</v>
      </c>
      <c r="L83" s="9"/>
      <c r="M83" s="3">
        <v>2</v>
      </c>
      <c r="AF83" s="3" t="s">
        <v>204</v>
      </c>
      <c r="AG83" s="9">
        <v>18700</v>
      </c>
      <c r="AH83" s="3">
        <v>4</v>
      </c>
    </row>
    <row r="84" spans="4:34" ht="12.75">
      <c r="D84" s="3">
        <f t="shared" si="5"/>
        <v>82</v>
      </c>
      <c r="E84" s="36" t="s">
        <v>463</v>
      </c>
      <c r="F84" s="3" t="s">
        <v>320</v>
      </c>
      <c r="G84" s="3" t="s">
        <v>113</v>
      </c>
      <c r="K84" s="9">
        <f>VLOOKUP(G84,'Calorific values'!Z$4:AD$26,5)</f>
        <v>18962.570000000003</v>
      </c>
      <c r="M84" s="3">
        <v>2</v>
      </c>
      <c r="AF84" s="10" t="s">
        <v>205</v>
      </c>
      <c r="AG84" s="11">
        <v>20550</v>
      </c>
      <c r="AH84" s="10">
        <v>4</v>
      </c>
    </row>
    <row r="85" spans="4:34" ht="12.75">
      <c r="D85" s="3">
        <f t="shared" si="5"/>
        <v>83</v>
      </c>
      <c r="E85" s="36" t="s">
        <v>464</v>
      </c>
      <c r="F85" s="3" t="s">
        <v>347</v>
      </c>
      <c r="G85" s="3" t="s">
        <v>379</v>
      </c>
      <c r="K85" s="9">
        <v>16300</v>
      </c>
      <c r="M85" s="3">
        <v>4</v>
      </c>
      <c r="AF85" s="3" t="s">
        <v>207</v>
      </c>
      <c r="AG85" s="9">
        <v>19750</v>
      </c>
      <c r="AH85" s="3">
        <v>4</v>
      </c>
    </row>
    <row r="86" spans="4:34" ht="12.75">
      <c r="D86" s="3">
        <f t="shared" si="5"/>
        <v>84</v>
      </c>
      <c r="E86" s="36" t="s">
        <v>465</v>
      </c>
      <c r="F86" s="3" t="s">
        <v>348</v>
      </c>
      <c r="G86" s="3" t="s">
        <v>380</v>
      </c>
      <c r="K86" s="9">
        <v>15400</v>
      </c>
      <c r="M86" s="3">
        <v>4</v>
      </c>
      <c r="AF86" s="3" t="s">
        <v>211</v>
      </c>
      <c r="AG86" s="9">
        <v>19800</v>
      </c>
      <c r="AH86" s="3">
        <v>4</v>
      </c>
    </row>
    <row r="87" spans="4:34" ht="12.75">
      <c r="D87" s="3">
        <f t="shared" si="5"/>
        <v>85</v>
      </c>
      <c r="E87" s="36" t="s">
        <v>466</v>
      </c>
      <c r="F87" s="3" t="s">
        <v>321</v>
      </c>
      <c r="G87" s="3" t="s">
        <v>97</v>
      </c>
      <c r="H87" s="3">
        <v>4900</v>
      </c>
      <c r="J87" s="17">
        <f>AVERAGE(H87,I87)</f>
        <v>4900</v>
      </c>
      <c r="K87" s="9">
        <f>J87*4.2</f>
        <v>20580</v>
      </c>
      <c r="M87" s="3">
        <v>1</v>
      </c>
      <c r="AF87" s="3" t="s">
        <v>210</v>
      </c>
      <c r="AG87" s="9">
        <v>18400</v>
      </c>
      <c r="AH87" s="3">
        <v>4</v>
      </c>
    </row>
    <row r="88" spans="4:34" ht="12.75">
      <c r="D88" s="3">
        <f t="shared" si="5"/>
        <v>86</v>
      </c>
      <c r="E88" s="36" t="s">
        <v>349</v>
      </c>
      <c r="F88" s="3" t="s">
        <v>349</v>
      </c>
      <c r="K88" s="9">
        <v>18300</v>
      </c>
      <c r="M88" s="3">
        <v>4</v>
      </c>
      <c r="AF88" s="3" t="s">
        <v>213</v>
      </c>
      <c r="AG88" s="9">
        <v>19300</v>
      </c>
      <c r="AH88" s="3">
        <v>4</v>
      </c>
    </row>
    <row r="89" spans="32:34" ht="12.75">
      <c r="AF89" s="10" t="s">
        <v>214</v>
      </c>
      <c r="AG89" s="11">
        <v>18500</v>
      </c>
      <c r="AH89" s="10">
        <v>4</v>
      </c>
    </row>
    <row r="90" spans="4:34" ht="12.75">
      <c r="D90" s="32"/>
      <c r="E90" s="313" t="s">
        <v>569</v>
      </c>
      <c r="F90" s="313"/>
      <c r="G90" s="313"/>
      <c r="H90" s="313"/>
      <c r="I90" s="313"/>
      <c r="J90" s="313"/>
      <c r="K90" s="313"/>
      <c r="AF90" s="3" t="s">
        <v>217</v>
      </c>
      <c r="AG90" s="9">
        <v>19750</v>
      </c>
      <c r="AH90" s="3">
        <v>4</v>
      </c>
    </row>
    <row r="91" spans="4:34" ht="12.75">
      <c r="D91" s="32"/>
      <c r="E91" s="33" t="s">
        <v>570</v>
      </c>
      <c r="F91" s="32" t="s">
        <v>44</v>
      </c>
      <c r="G91" s="32"/>
      <c r="H91" s="32"/>
      <c r="I91" s="32"/>
      <c r="J91" s="32"/>
      <c r="K91" s="34">
        <f>MIN($K$11:$K$87)</f>
        <v>15400</v>
      </c>
      <c r="AF91" s="10" t="s">
        <v>218</v>
      </c>
      <c r="AG91" s="11">
        <v>20100</v>
      </c>
      <c r="AH91" s="10">
        <v>4</v>
      </c>
    </row>
    <row r="92" spans="4:34" ht="12.75">
      <c r="D92" s="32"/>
      <c r="E92" s="33" t="s">
        <v>571</v>
      </c>
      <c r="F92" s="32"/>
      <c r="G92" s="32"/>
      <c r="H92" s="32"/>
      <c r="I92" s="32"/>
      <c r="J92" s="32"/>
      <c r="K92" s="34">
        <f>MAX($K$11:$K$87)</f>
        <v>22680</v>
      </c>
      <c r="AF92" s="10" t="s">
        <v>219</v>
      </c>
      <c r="AG92" s="11">
        <v>21300</v>
      </c>
      <c r="AH92" s="10">
        <v>4</v>
      </c>
    </row>
    <row r="93" spans="4:34" ht="12.75">
      <c r="D93" s="32"/>
      <c r="E93" s="33" t="s">
        <v>572</v>
      </c>
      <c r="F93" s="32"/>
      <c r="G93" s="32"/>
      <c r="H93" s="32"/>
      <c r="I93" s="32"/>
      <c r="J93" s="32"/>
      <c r="K93" s="34">
        <f>STDEV($K$11:$K$87)</f>
        <v>1280.6520491069084</v>
      </c>
      <c r="AF93" s="3" t="s">
        <v>220</v>
      </c>
      <c r="AG93" s="9">
        <v>20000</v>
      </c>
      <c r="AH93" s="3">
        <v>4</v>
      </c>
    </row>
    <row r="94" spans="4:34" ht="12.75">
      <c r="D94" s="32"/>
      <c r="E94" s="33" t="s">
        <v>392</v>
      </c>
      <c r="F94" s="32"/>
      <c r="G94" s="32"/>
      <c r="H94" s="32"/>
      <c r="I94" s="32"/>
      <c r="J94" s="32"/>
      <c r="K94" s="34">
        <f>AVERAGE($K$11:$K$87)</f>
        <v>19482.89155844156</v>
      </c>
      <c r="AF94" s="3" t="s">
        <v>221</v>
      </c>
      <c r="AG94" s="9">
        <v>18700</v>
      </c>
      <c r="AH94" s="3">
        <v>4</v>
      </c>
    </row>
    <row r="95" spans="4:34" ht="12.75">
      <c r="D95" s="32"/>
      <c r="E95" s="33" t="s">
        <v>573</v>
      </c>
      <c r="F95" s="32"/>
      <c r="G95" s="32"/>
      <c r="H95" s="32"/>
      <c r="I95" s="32"/>
      <c r="J95" s="32"/>
      <c r="K95" s="34">
        <f>QUARTILE($K$11:$K$87,1)</f>
        <v>18684.050000000003</v>
      </c>
      <c r="AF95" s="3" t="s">
        <v>222</v>
      </c>
      <c r="AG95" s="9">
        <v>19300</v>
      </c>
      <c r="AH95" s="3">
        <v>4</v>
      </c>
    </row>
    <row r="96" spans="4:34" ht="12.75">
      <c r="D96" s="32"/>
      <c r="E96" s="33" t="s">
        <v>574</v>
      </c>
      <c r="F96" s="32"/>
      <c r="G96" s="32"/>
      <c r="H96" s="32"/>
      <c r="I96" s="32"/>
      <c r="J96" s="32"/>
      <c r="K96" s="34">
        <f>MEDIAN($K$11:$K$87)</f>
        <v>19320</v>
      </c>
      <c r="AF96" s="3" t="s">
        <v>224</v>
      </c>
      <c r="AG96" s="9">
        <v>20700</v>
      </c>
      <c r="AH96" s="3">
        <v>4</v>
      </c>
    </row>
    <row r="97" spans="4:34" ht="12.75">
      <c r="D97" s="32"/>
      <c r="E97" s="33" t="s">
        <v>575</v>
      </c>
      <c r="F97" s="32"/>
      <c r="G97" s="32"/>
      <c r="H97" s="32"/>
      <c r="I97" s="32"/>
      <c r="J97" s="32"/>
      <c r="K97" s="34">
        <f>QUARTILE($K$11:$K$87,3)</f>
        <v>20370</v>
      </c>
      <c r="AF97" s="10" t="s">
        <v>225</v>
      </c>
      <c r="AG97" s="11">
        <v>20300</v>
      </c>
      <c r="AH97" s="10">
        <v>4</v>
      </c>
    </row>
    <row r="98" spans="4:34" ht="12.75">
      <c r="D98" s="32"/>
      <c r="E98" s="31"/>
      <c r="F98" s="32"/>
      <c r="G98" s="32"/>
      <c r="H98" s="32"/>
      <c r="I98" s="32"/>
      <c r="J98" s="32"/>
      <c r="K98" s="32"/>
      <c r="AF98" s="3" t="s">
        <v>226</v>
      </c>
      <c r="AG98" s="9">
        <v>16300</v>
      </c>
      <c r="AH98" s="3">
        <v>4</v>
      </c>
    </row>
    <row r="99" spans="4:34" ht="12.75">
      <c r="D99" s="32">
        <v>1</v>
      </c>
      <c r="E99" s="31" t="s">
        <v>576</v>
      </c>
      <c r="F99" s="32"/>
      <c r="G99" s="32"/>
      <c r="H99" s="32"/>
      <c r="I99" s="32"/>
      <c r="J99" s="32"/>
      <c r="K99" s="32"/>
      <c r="AF99" s="3" t="s">
        <v>227</v>
      </c>
      <c r="AG99" s="9">
        <v>15400</v>
      </c>
      <c r="AH99" s="3">
        <v>4</v>
      </c>
    </row>
    <row r="100" spans="4:34" ht="12.75">
      <c r="D100" s="32">
        <v>2</v>
      </c>
      <c r="E100" s="31" t="s">
        <v>577</v>
      </c>
      <c r="F100" s="32"/>
      <c r="G100" s="32"/>
      <c r="H100" s="32"/>
      <c r="I100" s="32"/>
      <c r="J100" s="32"/>
      <c r="K100" s="32"/>
      <c r="AF100" s="3" t="s">
        <v>228</v>
      </c>
      <c r="AG100" s="9">
        <v>18300</v>
      </c>
      <c r="AH100" s="3">
        <v>4</v>
      </c>
    </row>
    <row r="101" spans="4:11" ht="22.5">
      <c r="D101" s="32">
        <v>3</v>
      </c>
      <c r="E101" s="31" t="s">
        <v>578</v>
      </c>
      <c r="F101" s="32"/>
      <c r="G101" s="32"/>
      <c r="H101" s="32"/>
      <c r="I101" s="32"/>
      <c r="J101" s="32"/>
      <c r="K101" s="32"/>
    </row>
    <row r="102" spans="4:11" ht="12.75">
      <c r="D102" s="32">
        <v>4</v>
      </c>
      <c r="E102" s="31" t="s">
        <v>579</v>
      </c>
      <c r="F102" s="32"/>
      <c r="G102" s="32"/>
      <c r="H102" s="32"/>
      <c r="I102" s="32"/>
      <c r="J102" s="32"/>
      <c r="K102" s="32"/>
    </row>
  </sheetData>
  <sheetProtection/>
  <mergeCells count="4">
    <mergeCell ref="E90:K90"/>
    <mergeCell ref="H1:J1"/>
    <mergeCell ref="AA2:AB2"/>
    <mergeCell ref="AC2:AD2"/>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Damon Ogle</dc:creator>
  <cp:keywords/>
  <dc:description/>
  <cp:lastModifiedBy>Alisa_Jenny</cp:lastModifiedBy>
  <cp:lastPrinted>2006-08-09T13:31:49Z</cp:lastPrinted>
  <dcterms:created xsi:type="dcterms:W3CDTF">2003-09-03T21:38:51Z</dcterms:created>
  <dcterms:modified xsi:type="dcterms:W3CDTF">2007-12-06T19:46:17Z</dcterms:modified>
  <cp:category/>
  <cp:version/>
  <cp:contentType/>
  <cp:contentStatus/>
</cp:coreProperties>
</file>